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rezr\Downloads\docs_v4.94.3\"/>
    </mc:Choice>
  </mc:AlternateContent>
  <xr:revisionPtr revIDLastSave="0" documentId="8_{144D2947-B711-4C35-9B3E-85E8E7680F7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puts" sheetId="1" r:id="rId1"/>
    <sheet name="Model" sheetId="2" r:id="rId2"/>
    <sheet name="Break-even" sheetId="3" r:id="rId3"/>
    <sheet name="Scenarios" sheetId="4" r:id="rId4"/>
    <sheet name="Sensitivity" sheetId="5" r:id="rId5"/>
    <sheet name="Read me" sheetId="6" r:id="rId6"/>
  </sheets>
  <definedNames>
    <definedName name="PlanAnnual">Inputs!$C$39:$C$44</definedName>
    <definedName name="PlanMonthly">Inputs!$B$39:$B$44</definedName>
    <definedName name="PlanNames">Inputs!$A$39:$A$44</definedName>
    <definedName name="PlanProjects">Inputs!$E$39:$E$44</definedName>
    <definedName name="PlanUsers">Inputs!$F$39:$F$44</definedName>
    <definedName name="PlanVentures">Inputs!$D$39:$D$44</definedName>
    <definedName name="PlanWorkspaces">Inputs!$G$39:$G$44</definedName>
    <definedName name="_xlnm.Print_Titles" localSheetId="0">Inputs!$1:$4</definedName>
    <definedName name="_xlnm.Print_Titles" localSheetId="1">Model!$1:$4</definedName>
    <definedName name="Weeks">Inputs!$B$34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5" l="1"/>
  <c r="B36" i="5"/>
  <c r="B35" i="5"/>
  <c r="B34" i="5"/>
  <c r="B30" i="5"/>
  <c r="B14" i="5"/>
  <c r="B13" i="5"/>
  <c r="B12" i="5"/>
  <c r="B11" i="5"/>
  <c r="B9" i="5"/>
  <c r="B7" i="5"/>
  <c r="B194" i="4"/>
  <c r="B193" i="4"/>
  <c r="B192" i="4"/>
  <c r="B191" i="4"/>
  <c r="A195" i="4" s="1"/>
  <c r="D177" i="4"/>
  <c r="D178" i="4" s="1"/>
  <c r="C177" i="4"/>
  <c r="C178" i="4" s="1"/>
  <c r="B177" i="4"/>
  <c r="B178" i="4" s="1"/>
  <c r="D176" i="4"/>
  <c r="C176" i="4"/>
  <c r="B176" i="4"/>
  <c r="D175" i="4"/>
  <c r="C175" i="4"/>
  <c r="B175" i="4"/>
  <c r="D174" i="4"/>
  <c r="C174" i="4"/>
  <c r="B174" i="4"/>
  <c r="D173" i="4"/>
  <c r="C173" i="4"/>
  <c r="B173" i="4"/>
  <c r="D170" i="4"/>
  <c r="C170" i="4"/>
  <c r="B170" i="4"/>
  <c r="D169" i="4"/>
  <c r="C169" i="4"/>
  <c r="B169" i="4"/>
  <c r="D168" i="4"/>
  <c r="C168" i="4"/>
  <c r="B168" i="4"/>
  <c r="D166" i="4"/>
  <c r="D167" i="4" s="1"/>
  <c r="C166" i="4"/>
  <c r="C167" i="4" s="1"/>
  <c r="B166" i="4"/>
  <c r="B167" i="4" s="1"/>
  <c r="B129" i="4"/>
  <c r="B128" i="4"/>
  <c r="B127" i="4"/>
  <c r="B126" i="4"/>
  <c r="A130" i="4" s="1"/>
  <c r="D112" i="4"/>
  <c r="D113" i="4" s="1"/>
  <c r="C112" i="4"/>
  <c r="C113" i="4" s="1"/>
  <c r="B112" i="4"/>
  <c r="B113" i="4" s="1"/>
  <c r="D111" i="4"/>
  <c r="C111" i="4"/>
  <c r="B111" i="4"/>
  <c r="D110" i="4"/>
  <c r="C110" i="4"/>
  <c r="B10" i="5" s="1"/>
  <c r="B110" i="4"/>
  <c r="D109" i="4"/>
  <c r="C109" i="4"/>
  <c r="B109" i="4"/>
  <c r="D108" i="4"/>
  <c r="C108" i="4"/>
  <c r="B8" i="5" s="1"/>
  <c r="B108" i="4"/>
  <c r="D105" i="4"/>
  <c r="C105" i="4"/>
  <c r="B105" i="4"/>
  <c r="D104" i="4"/>
  <c r="C104" i="4"/>
  <c r="B104" i="4"/>
  <c r="D103" i="4"/>
  <c r="C103" i="4"/>
  <c r="B15" i="5" s="1"/>
  <c r="B103" i="4"/>
  <c r="D101" i="4"/>
  <c r="D102" i="4" s="1"/>
  <c r="D106" i="4" s="1"/>
  <c r="C101" i="4"/>
  <c r="C102" i="4" s="1"/>
  <c r="C106" i="4" s="1"/>
  <c r="B101" i="4"/>
  <c r="B102" i="4" s="1"/>
  <c r="B106" i="4" s="1"/>
  <c r="B64" i="4"/>
  <c r="B63" i="4"/>
  <c r="B62" i="4"/>
  <c r="B61" i="4"/>
  <c r="A65" i="4" s="1"/>
  <c r="D47" i="4"/>
  <c r="D48" i="4" s="1"/>
  <c r="C47" i="4"/>
  <c r="C48" i="4" s="1"/>
  <c r="B47" i="4"/>
  <c r="B48" i="4" s="1"/>
  <c r="D46" i="4"/>
  <c r="C46" i="4"/>
  <c r="B46" i="4"/>
  <c r="D45" i="4"/>
  <c r="C45" i="4"/>
  <c r="B45" i="4"/>
  <c r="D44" i="4"/>
  <c r="C44" i="4"/>
  <c r="B44" i="4"/>
  <c r="D43" i="4"/>
  <c r="D49" i="4" s="1"/>
  <c r="C43" i="4"/>
  <c r="C49" i="4" s="1"/>
  <c r="B43" i="4"/>
  <c r="B49" i="4" s="1"/>
  <c r="D40" i="4"/>
  <c r="C40" i="4"/>
  <c r="B40" i="4"/>
  <c r="D39" i="4"/>
  <c r="C39" i="4"/>
  <c r="B39" i="4"/>
  <c r="D38" i="4"/>
  <c r="C38" i="4"/>
  <c r="B38" i="4"/>
  <c r="D36" i="4"/>
  <c r="D37" i="4" s="1"/>
  <c r="D41" i="4" s="1"/>
  <c r="C36" i="4"/>
  <c r="C37" i="4" s="1"/>
  <c r="C41" i="4" s="1"/>
  <c r="B36" i="4"/>
  <c r="B37" i="4" s="1"/>
  <c r="B41" i="4" s="1"/>
  <c r="H16" i="3"/>
  <c r="G16" i="3"/>
  <c r="F16" i="3"/>
  <c r="E16" i="3"/>
  <c r="A12" i="3"/>
  <c r="A11" i="3"/>
  <c r="A10" i="3"/>
  <c r="A9" i="3"/>
  <c r="A8" i="3"/>
  <c r="F7" i="3"/>
  <c r="E7" i="3"/>
  <c r="D7" i="3"/>
  <c r="C7" i="3"/>
  <c r="A35" i="2"/>
  <c r="B34" i="2"/>
  <c r="B33" i="2"/>
  <c r="B32" i="2"/>
  <c r="B31" i="2"/>
  <c r="D17" i="2"/>
  <c r="D18" i="2" s="1"/>
  <c r="C17" i="2"/>
  <c r="C18" i="2" s="1"/>
  <c r="B17" i="2"/>
  <c r="B18" i="2" s="1"/>
  <c r="D16" i="2"/>
  <c r="C16" i="2"/>
  <c r="B16" i="2"/>
  <c r="D15" i="2"/>
  <c r="C15" i="2"/>
  <c r="B33" i="5" s="1"/>
  <c r="B15" i="2"/>
  <c r="D14" i="2"/>
  <c r="C14" i="2"/>
  <c r="B32" i="5" s="1"/>
  <c r="B14" i="2"/>
  <c r="D13" i="2"/>
  <c r="C13" i="2"/>
  <c r="B13" i="2"/>
  <c r="B19" i="2" s="1"/>
  <c r="D10" i="2"/>
  <c r="C10" i="2"/>
  <c r="B10" i="2"/>
  <c r="D9" i="2"/>
  <c r="C9" i="2"/>
  <c r="B9" i="2"/>
  <c r="D8" i="2"/>
  <c r="C8" i="2"/>
  <c r="B38" i="5" s="1"/>
  <c r="B8" i="2"/>
  <c r="D6" i="2"/>
  <c r="D7" i="2" s="1"/>
  <c r="D11" i="2" s="1"/>
  <c r="C6" i="2"/>
  <c r="C7" i="2" s="1"/>
  <c r="C11" i="2" s="1"/>
  <c r="B6" i="2"/>
  <c r="B7" i="2" s="1"/>
  <c r="B11" i="2" s="1"/>
  <c r="D179" i="4" l="1"/>
  <c r="C179" i="4"/>
  <c r="B179" i="4"/>
  <c r="D171" i="4"/>
  <c r="C171" i="4"/>
  <c r="B171" i="4"/>
  <c r="D114" i="4"/>
  <c r="C114" i="4"/>
  <c r="B114" i="4"/>
  <c r="D19" i="2"/>
  <c r="C19" i="2"/>
  <c r="B31" i="5"/>
  <c r="E46" i="5"/>
  <c r="D46" i="5"/>
  <c r="C46" i="5"/>
  <c r="B44" i="5"/>
  <c r="E43" i="5"/>
  <c r="D43" i="5"/>
  <c r="C43" i="5"/>
  <c r="B43" i="5"/>
  <c r="E42" i="5"/>
  <c r="D42" i="5"/>
  <c r="B19" i="5"/>
  <c r="E23" i="5"/>
  <c r="D23" i="5"/>
  <c r="C23" i="5"/>
  <c r="B23" i="5"/>
  <c r="E22" i="5"/>
  <c r="D22" i="5"/>
  <c r="C22" i="5"/>
  <c r="B22" i="5"/>
  <c r="E21" i="5"/>
  <c r="D21" i="5"/>
  <c r="C21" i="5"/>
  <c r="B21" i="5"/>
  <c r="E20" i="5"/>
  <c r="D20" i="5"/>
  <c r="C20" i="5"/>
  <c r="B20" i="5"/>
  <c r="E19" i="5"/>
  <c r="D19" i="5"/>
  <c r="C19" i="5"/>
  <c r="D180" i="4"/>
  <c r="D185" i="4"/>
  <c r="C180" i="4"/>
  <c r="C182" i="4" s="1"/>
  <c r="C185" i="4"/>
  <c r="B180" i="4"/>
  <c r="B182" i="4" s="1"/>
  <c r="B185" i="4"/>
  <c r="D182" i="4"/>
  <c r="D184" i="4"/>
  <c r="D186" i="4" s="1"/>
  <c r="C184" i="4"/>
  <c r="B184" i="4"/>
  <c r="B186" i="4" s="1"/>
  <c r="D115" i="4"/>
  <c r="D120" i="4"/>
  <c r="C115" i="4"/>
  <c r="C120" i="4"/>
  <c r="B115" i="4"/>
  <c r="B120" i="4"/>
  <c r="D117" i="4"/>
  <c r="D119" i="4"/>
  <c r="D121" i="4" s="1"/>
  <c r="C117" i="4"/>
  <c r="C119" i="4"/>
  <c r="C121" i="4" s="1"/>
  <c r="B117" i="4"/>
  <c r="B119" i="4"/>
  <c r="B121" i="4" s="1"/>
  <c r="D50" i="4"/>
  <c r="D55" i="4"/>
  <c r="C50" i="4"/>
  <c r="C55" i="4"/>
  <c r="B50" i="4"/>
  <c r="B55" i="4"/>
  <c r="D52" i="4"/>
  <c r="D54" i="4"/>
  <c r="D56" i="4" s="1"/>
  <c r="C52" i="4"/>
  <c r="C54" i="4"/>
  <c r="C56" i="4" s="1"/>
  <c r="B52" i="4"/>
  <c r="B54" i="4"/>
  <c r="B56" i="4" s="1"/>
  <c r="A21" i="3"/>
  <c r="B12" i="3"/>
  <c r="A20" i="3"/>
  <c r="B11" i="3"/>
  <c r="A19" i="3"/>
  <c r="B10" i="3"/>
  <c r="A18" i="3"/>
  <c r="B9" i="3"/>
  <c r="A17" i="3"/>
  <c r="B8" i="3"/>
  <c r="D20" i="2"/>
  <c r="D22" i="2" s="1"/>
  <c r="D25" i="2"/>
  <c r="C20" i="2"/>
  <c r="C25" i="2"/>
  <c r="B20" i="2"/>
  <c r="B25" i="2"/>
  <c r="D24" i="2"/>
  <c r="D26" i="2" s="1"/>
  <c r="C22" i="2"/>
  <c r="C24" i="2"/>
  <c r="C26" i="2" s="1"/>
  <c r="B22" i="2"/>
  <c r="B24" i="2"/>
  <c r="B26" i="2" s="1"/>
  <c r="C186" i="4" l="1"/>
  <c r="B46" i="5"/>
  <c r="E45" i="5"/>
  <c r="D45" i="5"/>
  <c r="C45" i="5"/>
  <c r="B45" i="5"/>
  <c r="E44" i="5"/>
  <c r="D44" i="5"/>
  <c r="C44" i="5"/>
  <c r="C42" i="5"/>
  <c r="B42" i="5"/>
  <c r="D183" i="4"/>
  <c r="D187" i="4"/>
  <c r="D189" i="4" s="1"/>
  <c r="D188" i="4"/>
  <c r="C183" i="4"/>
  <c r="C187" i="4"/>
  <c r="C189" i="4" s="1"/>
  <c r="C188" i="4"/>
  <c r="B183" i="4"/>
  <c r="B187" i="4"/>
  <c r="B189" i="4" s="1"/>
  <c r="B188" i="4"/>
  <c r="D118" i="4"/>
  <c r="D122" i="4"/>
  <c r="D124" i="4" s="1"/>
  <c r="D123" i="4"/>
  <c r="C118" i="4"/>
  <c r="C122" i="4"/>
  <c r="C124" i="4" s="1"/>
  <c r="C123" i="4"/>
  <c r="B118" i="4"/>
  <c r="B122" i="4"/>
  <c r="B124" i="4" s="1"/>
  <c r="B123" i="4"/>
  <c r="D53" i="4"/>
  <c r="D57" i="4"/>
  <c r="D59" i="4" s="1"/>
  <c r="D58" i="4"/>
  <c r="C53" i="4"/>
  <c r="C57" i="4"/>
  <c r="C59" i="4" s="1"/>
  <c r="C58" i="4"/>
  <c r="B53" i="4"/>
  <c r="B57" i="4"/>
  <c r="B59" i="4" s="1"/>
  <c r="B58" i="4"/>
  <c r="C12" i="3"/>
  <c r="D12" i="3"/>
  <c r="E12" i="3"/>
  <c r="F12" i="3"/>
  <c r="B21" i="3"/>
  <c r="C11" i="3"/>
  <c r="D11" i="3"/>
  <c r="E11" i="3"/>
  <c r="F11" i="3"/>
  <c r="B20" i="3"/>
  <c r="C10" i="3"/>
  <c r="D10" i="3"/>
  <c r="E10" i="3"/>
  <c r="F10" i="3"/>
  <c r="B19" i="3"/>
  <c r="C9" i="3"/>
  <c r="D9" i="3"/>
  <c r="E9" i="3"/>
  <c r="F9" i="3"/>
  <c r="B18" i="3"/>
  <c r="C8" i="3"/>
  <c r="D8" i="3"/>
  <c r="E8" i="3"/>
  <c r="F8" i="3"/>
  <c r="B17" i="3"/>
  <c r="D23" i="2"/>
  <c r="D27" i="2"/>
  <c r="D29" i="2" s="1"/>
  <c r="D28" i="2"/>
  <c r="C23" i="2"/>
  <c r="C27" i="2"/>
  <c r="C29" i="2" s="1"/>
  <c r="C28" i="2"/>
  <c r="B23" i="2"/>
  <c r="B27" i="2"/>
  <c r="B29" i="2" s="1"/>
  <c r="B28" i="2"/>
  <c r="E21" i="3" l="1"/>
  <c r="F21" i="3"/>
  <c r="G21" i="3"/>
  <c r="H21" i="3"/>
  <c r="E20" i="3"/>
  <c r="F20" i="3"/>
  <c r="G20" i="3"/>
  <c r="H20" i="3"/>
  <c r="E19" i="3"/>
  <c r="F19" i="3"/>
  <c r="G19" i="3"/>
  <c r="H19" i="3"/>
  <c r="E18" i="3"/>
  <c r="F18" i="3"/>
  <c r="G18" i="3"/>
  <c r="H18" i="3"/>
  <c r="E17" i="3"/>
  <c r="F17" i="3"/>
  <c r="G17" i="3"/>
  <c r="H17" i="3"/>
</calcChain>
</file>

<file path=xl/sharedStrings.xml><?xml version="1.0" encoding="utf-8"?>
<sst xmlns="http://schemas.openxmlformats.org/spreadsheetml/2006/main" count="568" uniqueCount="189">
  <si>
    <t>ErezAgent ROI Calculator: Inputs (v4.94.3)</t>
  </si>
  <si>
    <t>Blue cells are inputs. The values shown are ILLUSTRATIVE defaults. Replace them with your own figures. No result is claimed.</t>
  </si>
  <si>
    <t>Input</t>
  </si>
  <si>
    <t>Value</t>
  </si>
  <si>
    <t>Unit</t>
  </si>
  <si>
    <t>Notes</t>
  </si>
  <si>
    <t>1. Plan and capacity</t>
  </si>
  <si>
    <t>Plan</t>
  </si>
  <si>
    <t>Business</t>
  </si>
  <si>
    <t>choose from list</t>
  </si>
  <si>
    <t>Pick the smallest plan whose capacity fits. Enterprise and Provider is priced by quote.</t>
  </si>
  <si>
    <t>Billing term</t>
  </si>
  <si>
    <t>Annual</t>
  </si>
  <si>
    <t>Annual or Monthly</t>
  </si>
  <si>
    <t>Annual costs ten months of the monthly price; Monthly costs twelve.</t>
  </si>
  <si>
    <t>Quoted annual price (Enterprise and Provider only)</t>
  </si>
  <si>
    <t>USD per year</t>
  </si>
  <si>
    <t>Used only when the plan is Enterprise and Provider.</t>
  </si>
  <si>
    <t>Ventures needed</t>
  </si>
  <si>
    <t>count</t>
  </si>
  <si>
    <t>Active projects needed</t>
  </si>
  <si>
    <t>Users needed</t>
  </si>
  <si>
    <t>Client workspaces needed</t>
  </si>
  <si>
    <t>Largest number you expect to run at once.</t>
  </si>
  <si>
    <t>2. Time</t>
  </si>
  <si>
    <t>Fully loaded hourly cost</t>
  </si>
  <si>
    <t>USD per hour</t>
  </si>
  <si>
    <t>Pay, payroll costs, benefits and a share of overhead, divided by paid productive hours.</t>
  </si>
  <si>
    <t>Targeted weekly hours (work in scope)</t>
  </si>
  <si>
    <t>hours per week</t>
  </si>
  <si>
    <t>Weekly hours your team spends today on the work you aim to change.</t>
  </si>
  <si>
    <t>3. Running costs and setup</t>
  </si>
  <si>
    <t>AI-provider usage</t>
  </si>
  <si>
    <t>USD per month</t>
  </si>
  <si>
    <t>Billed by your AI provider, not part of the licence.</t>
  </si>
  <si>
    <t>Infrastructure</t>
  </si>
  <si>
    <t>Servers or cloud, storage, backups, monitoring.</t>
  </si>
  <si>
    <t>Operating time</t>
  </si>
  <si>
    <t>hours per month</t>
  </si>
  <si>
    <t>Administration, upgrades, approval review, checking results. Valued at the hourly cost above.</t>
  </si>
  <si>
    <t>Setup time (one-off)</t>
  </si>
  <si>
    <t>hours</t>
  </si>
  <si>
    <t>Configuration, integrations, reviewing what Build My Business proposes.</t>
  </si>
  <si>
    <t>Other one-off setup cost</t>
  </si>
  <si>
    <t>USD</t>
  </si>
  <si>
    <t>Outside help, training, templates, extensions.</t>
  </si>
  <si>
    <t>Years over which setup is spread</t>
  </si>
  <si>
    <t>years</t>
  </si>
  <si>
    <t>Three years by default.</t>
  </si>
  <si>
    <t>4. Agency formula (leave at 0 if you are not an agency or provider)</t>
  </si>
  <si>
    <t>Monthly fee per added client</t>
  </si>
  <si>
    <t>The fee you charge. Keep it as your own number.</t>
  </si>
  <si>
    <t>Direct service cost per added client</t>
  </si>
  <si>
    <t>Client-specific cost not already in sections 2 and 3 (support time, client integrations).</t>
  </si>
  <si>
    <t>5. The three cases</t>
  </si>
  <si>
    <t>Conservative</t>
  </si>
  <si>
    <t>Base</t>
  </si>
  <si>
    <t>Optimistic</t>
  </si>
  <si>
    <t>Share of targeted hours released</t>
  </si>
  <si>
    <t>Share of the targeted hours you expect to free. Measure it in a pilot.</t>
  </si>
  <si>
    <t>Added clients (agency formula)</t>
  </si>
  <si>
    <t>Clients you would not otherwise serve.</t>
  </si>
  <si>
    <t>Other retained or added margin (USD per year)</t>
  </si>
  <si>
    <t>Margin, not revenue. Do not repeat hours counted above.</t>
  </si>
  <si>
    <t>Avoided cost (USD per year)</t>
  </si>
  <si>
    <t>Tools or outside work you stop paying for.</t>
  </si>
  <si>
    <t>Fixed constant</t>
  </si>
  <si>
    <t>Weeks per year</t>
  </si>
  <si>
    <t>weeks</t>
  </si>
  <si>
    <t>Fixed at 52 in this model. Not an input.</t>
  </si>
  <si>
    <t>Plan table: self-hosted licence, USD (published price card, October 2026; annual billing costs ten months)</t>
  </si>
  <si>
    <t>Ventures</t>
  </si>
  <si>
    <t>Active projects</t>
  </si>
  <si>
    <t>Users</t>
  </si>
  <si>
    <t>Client workspaces</t>
  </si>
  <si>
    <t>Starter</t>
  </si>
  <si>
    <t>Builder</t>
  </si>
  <si>
    <t>Agency</t>
  </si>
  <si>
    <t>Business Plus</t>
  </si>
  <si>
    <t>Enterprise and Provider</t>
  </si>
  <si>
    <t>Enterprise and Provider is priced by quote. Enter your quoted annual price in the plan input block.</t>
  </si>
  <si>
    <t>A client workspace limit of 0 means none is listed for the plan.</t>
  </si>
  <si>
    <t>ErezAgent ROI Calculator: Model (v4.94.3)</t>
  </si>
  <si>
    <t>Every figure is a live formula over the Inputs sheet. Change an input and the three cases update.</t>
  </si>
  <si>
    <t>Line</t>
  </si>
  <si>
    <t>How it is calculated</t>
  </si>
  <si>
    <t>Annual value</t>
  </si>
  <si>
    <t>Hours released per week</t>
  </si>
  <si>
    <t>Targeted weekly hours x share released</t>
  </si>
  <si>
    <t>Value of released hours</t>
  </si>
  <si>
    <t>Hours per week x 52 x hourly cost</t>
  </si>
  <si>
    <t>Contribution from added clients</t>
  </si>
  <si>
    <t>12 x clients x (monthly fee - direct service cost)</t>
  </si>
  <si>
    <t>Other retained or added margin</t>
  </si>
  <si>
    <t>From inputs</t>
  </si>
  <si>
    <t>Avoided cost</t>
  </si>
  <si>
    <t>Sum of the four lines above</t>
  </si>
  <si>
    <t>Annual cost</t>
  </si>
  <si>
    <t>Licence</t>
  </si>
  <si>
    <t>Plan table price for the billing term</t>
  </si>
  <si>
    <t>USD per month x 12</t>
  </si>
  <si>
    <t>Hours per month x 12 x hourly cost</t>
  </si>
  <si>
    <t>One-off setup (total, not in annual cost)</t>
  </si>
  <si>
    <t>Setup hours x hourly cost + other one-off cost</t>
  </si>
  <si>
    <t>One-off setup spread per year</t>
  </si>
  <si>
    <t>Setup total / years</t>
  </si>
  <si>
    <t>Running cost per year (without setup)</t>
  </si>
  <si>
    <t>Licence + AI + infrastructure + operating time</t>
  </si>
  <si>
    <t>Running cost + setup spread</t>
  </si>
  <si>
    <t>Results</t>
  </si>
  <si>
    <t>Net annual impact</t>
  </si>
  <si>
    <t>Annual value - annual cost</t>
  </si>
  <si>
    <t>ROI %</t>
  </si>
  <si>
    <t>Net annual impact / annual cost</t>
  </si>
  <si>
    <t>Monthly net before setup</t>
  </si>
  <si>
    <t>(Annual value - running cost) / 12</t>
  </si>
  <si>
    <t>First-month cost</t>
  </si>
  <si>
    <t>Running cost / 12</t>
  </si>
  <si>
    <t>Payback (months)</t>
  </si>
  <si>
    <t>(Setup + first-month cost) / monthly net</t>
  </si>
  <si>
    <t>Break-even hours per week (hours only)</t>
  </si>
  <si>
    <t>Annual cost / (52 x hourly cost)</t>
  </si>
  <si>
    <t>Break-even hours per week after margin and avoided cost</t>
  </si>
  <si>
    <t>(Annual cost - margin - avoided cost) / (52 x hourly cost)</t>
  </si>
  <si>
    <t>Break-even share of targeted hours</t>
  </si>
  <si>
    <t>Break-even hours / targeted hours</t>
  </si>
  <si>
    <t>Plan capacity check</t>
  </si>
  <si>
    <t>Compares your need with the plan table</t>
  </si>
  <si>
    <t>ErezAgent ROI Calculator: Break-even (v4.94.3)</t>
  </si>
  <si>
    <t>Hours per week that must be released for the value of those hours to equal the cost. No forecast is needed. Prices come from the plan table on Inputs.</t>
  </si>
  <si>
    <t>Fully loaded hourly cost (USD)</t>
  </si>
  <si>
    <t>A. Hours per week needed to pay for the licence alone (annual billing, ten months)</t>
  </si>
  <si>
    <t>Annual licence (USD)</t>
  </si>
  <si>
    <t>Annual licence / (52 x hourly cost)</t>
  </si>
  <si>
    <t>B. The same, with an AI-usage and operating-time allowance added (one-off setup not included)</t>
  </si>
  <si>
    <t>AI usage allowance (USD per month)</t>
  </si>
  <si>
    <t>Operating time allowance (hours per month)</t>
  </si>
  <si>
    <t>(Licence + AI x 12) / (52 x hourly cost) + operating hours x 12 / 52</t>
  </si>
  <si>
    <t>The allowances are assumptions, not forecasts. Replace them with your own figures. Setup adds (setup hours x hourly cost + other one-off cost) / years.</t>
  </si>
  <si>
    <t>If you pay monthly, the licence costs twelve months instead of ten, so the licence part of every figure rises by one fifth.</t>
  </si>
  <si>
    <t>ErezAgent ROI Calculator: Scenarios (v4.94.3)</t>
  </si>
  <si>
    <t>Three worked examples. ILLUSTRATIVE inputs. Replace with your own figures; these are not measured results or typical results.</t>
  </si>
  <si>
    <t>Example (a): Solo founder on Starter</t>
  </si>
  <si>
    <t>Illustrative inputs. Replace with your own figures; these are not measured results or typical results.</t>
  </si>
  <si>
    <t>Example (b): Ten-person service business on Business</t>
  </si>
  <si>
    <t>Example (c): Agency on Agency with client workspaces</t>
  </si>
  <si>
    <t>ErezAgent ROI Calculator: Sensitivity (v4.94.3)</t>
  </si>
  <si>
    <t>Net annual impact in USD for a released share of the targeted hours against hourly cost. Built with formulas. ILLUSTRATIVE inputs.</t>
  </si>
  <si>
    <t>A. Ten-person service business (example b), as in the guide</t>
  </si>
  <si>
    <t>Base-case avoided cost is held constant. Operating time and setup hours are valued at each hourly cost.</t>
  </si>
  <si>
    <t>Targeted weekly hours</t>
  </si>
  <si>
    <t>Licence per year</t>
  </si>
  <si>
    <t>AI-provider usage per year</t>
  </si>
  <si>
    <t>Infrastructure per year</t>
  </si>
  <si>
    <t>Operating hours per month</t>
  </si>
  <si>
    <t>Setup hours (one-off)</t>
  </si>
  <si>
    <t>Years to spread setup</t>
  </si>
  <si>
    <t>Base-case margin and avoided cost per year</t>
  </si>
  <si>
    <t>Net annual impact (USD)</t>
  </si>
  <si>
    <t>Released share of targeted hours</t>
  </si>
  <si>
    <t>B. Your inputs (Inputs sheet, Base column of the Model)</t>
  </si>
  <si>
    <t>Change the shares in column A and the hourly costs in the header row to test your own range.</t>
  </si>
  <si>
    <t>ErezAgent ROI Calculator: Read me (v4.94.3)</t>
  </si>
  <si>
    <t>Companion to the ROI &amp; Business Case Guide v4.94.3</t>
  </si>
  <si>
    <t>What this workbook is</t>
  </si>
  <si>
    <t>A transparent model. You enter your own figures; every output is a formula. It computes the return you would get if your inputs were true.</t>
  </si>
  <si>
    <t>It does not contain measured results, benchmarks or typical results.</t>
  </si>
  <si>
    <t>Illustrative defaults</t>
  </si>
  <si>
    <t>The values in blue input cells are ILLUSTRATIVE defaults taken from the worked examples in the guide. Replace them with your own figures.</t>
  </si>
  <si>
    <t>Inputs and Model open with example (b), a ten-person service business. Scenarios holds all three worked examples.</t>
  </si>
  <si>
    <t>How to use it</t>
  </si>
  <si>
    <t>1. Inputs: choose your plan, enter your hourly cost, targeted hours, running costs, setup and the three cases (conservative, base, optimistic).</t>
  </si>
  <si>
    <t>2. Model: read annual value, annual cost, net annual impact, ROI %, payback months and break-even hours for each case.</t>
  </si>
  <si>
    <t>3. Break-even: hours per week needed to pay for each plan's licence, with and without an AI-usage and operating-time allowance.</t>
  </si>
  <si>
    <t>4. Sensitivity: net annual impact for five shares of released hours against four hourly costs.</t>
  </si>
  <si>
    <t>5. Measure your baseline first, run a pilot, then replace the illustrative inputs with measured ones.</t>
  </si>
  <si>
    <t>Formulas</t>
  </si>
  <si>
    <t>Annual value = (hours released per week x 52 x fully loaded hourly cost) + contribution margin retained or added + avoided cost.</t>
  </si>
  <si>
    <t>Annual cost = licence + your AI-provider usage + infrastructure + operating time + one-off setup spread over the years you choose (3 by default).</t>
  </si>
  <si>
    <t>Net annual impact = annual value - annual cost.   ROI % = net annual impact / annual cost.</t>
  </si>
  <si>
    <t>Payback months = (one-off setup + first-month running cost) / monthly net before setup. If monthly net is zero or negative the result is No payback.</t>
  </si>
  <si>
    <t>Break-even hours per week = annual cost / (52 x hourly cost).</t>
  </si>
  <si>
    <t>Agency formula: contribution from added clients = 12 x clients x (monthly fee - direct service cost per client).</t>
  </si>
  <si>
    <t>Limits</t>
  </si>
  <si>
    <t>Prices are the published USD per month for a self-hosted licence, October 2026. Annual billing costs ten months. Confirm current prices before you decide.</t>
  </si>
  <si>
    <t>Do not count the same released hour twice, once as capacity and again as revenue.</t>
  </si>
  <si>
    <t>The AI usage you pay for is billed by your AI provider. ErezAgent records AI usage and cost in a usage ledger; infrastructure and people are not in it.</t>
  </si>
  <si>
    <t>Usage statements and invoice drafts produced by ErezAgent are billing documents, not tax invoices.</t>
  </si>
  <si>
    <t>ErezAgent does not guarantee savings or revenue. A pilot that shows no measurable value is a valid result.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</si>
</sst>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[Red]\-#,##0;0"/>
    <numFmt numFmtId="165" formatCode="#,##0.00;[Red]\-#,##0.00;0.00"/>
    <numFmt numFmtId="166" formatCode="#,##0.0"/>
    <numFmt numFmtId="167" formatCode="0.0#"/>
    <numFmt numFmtId="168" formatCode="0.0%;[Red]\-0.0%"/>
    <numFmt numFmtId="169" formatCode="0.0"/>
    <numFmt numFmtId="170" formatCode="&quot;At &quot;0&quot; USD/h&quot;"/>
  </numFmts>
  <fonts count="11" x14ac:knownFonts="1">
    <font>
      <sz val="11"/>
      <color theme="1"/>
      <name val="Calibri"/>
      <family val="2"/>
      <scheme val="minor"/>
    </font>
    <font>
      <b/>
      <sz val="16"/>
      <color rgb="FF12344D"/>
      <name val="Calibri"/>
    </font>
    <font>
      <i/>
      <sz val="10"/>
      <color rgb="FF496575"/>
      <name val="Calibri"/>
    </font>
    <font>
      <b/>
      <sz val="10"/>
      <color rgb="FFFFFFFF"/>
      <name val="Calibri"/>
    </font>
    <font>
      <b/>
      <sz val="10"/>
      <color rgb="FF0A4A6E"/>
      <name val="Calibri"/>
    </font>
    <font>
      <sz val="10"/>
      <color rgb="FF243541"/>
      <name val="Calibri"/>
    </font>
    <font>
      <sz val="9"/>
      <color rgb="FF5D7483"/>
      <name val="Calibri"/>
    </font>
    <font>
      <sz val="10"/>
      <color rgb="FF0000FF"/>
      <name val="Calibri"/>
    </font>
    <font>
      <b/>
      <sz val="10"/>
      <color rgb="FF243541"/>
      <name val="Calibri"/>
    </font>
    <font>
      <b/>
      <sz val="10"/>
      <color rgb="FFC00000"/>
      <name val="Calibri"/>
    </font>
    <font>
      <b/>
      <sz val="10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A4A6E"/>
      </patternFill>
    </fill>
    <fill>
      <patternFill patternType="solid">
        <fgColor rgb="FFEDF8FC"/>
      </patternFill>
    </fill>
    <fill>
      <patternFill patternType="solid">
        <fgColor rgb="FFFFF9E5"/>
      </patternFill>
    </fill>
  </fills>
  <borders count="2">
    <border>
      <left/>
      <right/>
      <top/>
      <bottom/>
      <diagonal/>
    </border>
    <border>
      <left style="thin">
        <color rgb="FFB7C4CC"/>
      </left>
      <right style="thin">
        <color rgb="FFB7C4CC"/>
      </right>
      <top style="thin">
        <color rgb="FFB7C4CC"/>
      </top>
      <bottom style="thin">
        <color rgb="FFB7C4CC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/>
    <xf numFmtId="0" fontId="5" fillId="0" borderId="1" xfId="0" applyFont="1" applyBorder="1"/>
    <xf numFmtId="0" fontId="7" fillId="4" borderId="1" xfId="0" applyFont="1" applyFill="1" applyBorder="1" applyAlignment="1">
      <alignment horizontal="right"/>
    </xf>
    <xf numFmtId="0" fontId="6" fillId="0" borderId="0" xfId="0" applyFont="1"/>
    <xf numFmtId="164" fontId="7" fillId="4" borderId="1" xfId="0" applyNumberFormat="1" applyFont="1" applyFill="1" applyBorder="1" applyAlignment="1">
      <alignment horizontal="right"/>
    </xf>
    <xf numFmtId="3" fontId="7" fillId="4" borderId="1" xfId="0" applyNumberFormat="1" applyFont="1" applyFill="1" applyBorder="1" applyAlignment="1">
      <alignment horizontal="right"/>
    </xf>
    <xf numFmtId="165" fontId="7" fillId="4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" fontId="7" fillId="4" borderId="1" xfId="0" applyNumberFormat="1" applyFont="1" applyFill="1" applyBorder="1" applyAlignment="1">
      <alignment horizontal="right"/>
    </xf>
    <xf numFmtId="9" fontId="7" fillId="4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/>
    <xf numFmtId="0" fontId="7" fillId="4" borderId="1" xfId="0" applyFont="1" applyFill="1" applyBorder="1"/>
    <xf numFmtId="167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8" fontId="8" fillId="0" borderId="1" xfId="0" applyNumberFormat="1" applyFont="1" applyBorder="1" applyAlignment="1">
      <alignment horizontal="right"/>
    </xf>
    <xf numFmtId="169" fontId="8" fillId="0" borderId="1" xfId="0" applyNumberFormat="1" applyFont="1" applyBorder="1" applyAlignment="1">
      <alignment horizontal="right"/>
    </xf>
    <xf numFmtId="169" fontId="5" fillId="0" borderId="1" xfId="0" applyNumberFormat="1" applyFont="1" applyBorder="1" applyAlignment="1">
      <alignment horizontal="right"/>
    </xf>
    <xf numFmtId="168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9" fillId="0" borderId="0" xfId="0" applyFont="1"/>
    <xf numFmtId="0" fontId="8" fillId="0" borderId="0" xfId="0" applyFont="1"/>
    <xf numFmtId="170" fontId="3" fillId="2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right"/>
    </xf>
    <xf numFmtId="0" fontId="3" fillId="2" borderId="0" xfId="0" applyFont="1" applyFill="1"/>
    <xf numFmtId="0" fontId="0" fillId="2" borderId="0" xfId="0" applyFill="1"/>
    <xf numFmtId="166" fontId="5" fillId="0" borderId="1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70" fontId="10" fillId="4" borderId="1" xfId="0" applyNumberFormat="1" applyFont="1" applyFill="1" applyBorder="1" applyAlignment="1">
      <alignment horizontal="center" vertical="center"/>
    </xf>
    <xf numFmtId="9" fontId="7" fillId="4" borderId="1" xfId="0" applyNumberFormat="1" applyFont="1" applyFill="1" applyBorder="1" applyAlignment="1">
      <alignment horizontal="left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2" customWidth="1"/>
    <col min="2" max="4" width="16" customWidth="1"/>
    <col min="5" max="6" width="14" customWidth="1"/>
    <col min="7" max="7" width="18" customWidth="1"/>
    <col min="8" max="8" width="30" customWidth="1"/>
  </cols>
  <sheetData>
    <row r="1" spans="1:5" ht="24" customHeight="1" x14ac:dyDescent="0.35">
      <c r="A1" s="1" t="s">
        <v>0</v>
      </c>
    </row>
    <row r="2" spans="1:5" x14ac:dyDescent="0.25">
      <c r="A2" s="2" t="s">
        <v>1</v>
      </c>
    </row>
    <row r="4" spans="1:5" ht="30" customHeight="1" x14ac:dyDescent="0.25">
      <c r="A4" s="3" t="s">
        <v>2</v>
      </c>
      <c r="B4" s="4" t="s">
        <v>3</v>
      </c>
      <c r="C4" s="4" t="s">
        <v>4</v>
      </c>
      <c r="D4" s="4"/>
      <c r="E4" s="4" t="s">
        <v>5</v>
      </c>
    </row>
    <row r="5" spans="1:5" x14ac:dyDescent="0.25">
      <c r="A5" s="5" t="s">
        <v>6</v>
      </c>
      <c r="B5" s="6"/>
      <c r="C5" s="6"/>
      <c r="D5" s="6"/>
      <c r="E5" s="6"/>
    </row>
    <row r="6" spans="1:5" x14ac:dyDescent="0.25">
      <c r="A6" s="7" t="s">
        <v>7</v>
      </c>
      <c r="B6" s="8" t="s">
        <v>8</v>
      </c>
      <c r="C6" s="9" t="s">
        <v>9</v>
      </c>
      <c r="E6" s="9" t="s">
        <v>10</v>
      </c>
    </row>
    <row r="7" spans="1:5" x14ac:dyDescent="0.25">
      <c r="A7" s="7" t="s">
        <v>11</v>
      </c>
      <c r="B7" s="8" t="s">
        <v>12</v>
      </c>
      <c r="C7" s="9" t="s">
        <v>13</v>
      </c>
      <c r="E7" s="9" t="s">
        <v>14</v>
      </c>
    </row>
    <row r="8" spans="1:5" x14ac:dyDescent="0.25">
      <c r="A8" s="7" t="s">
        <v>15</v>
      </c>
      <c r="B8" s="10">
        <v>0</v>
      </c>
      <c r="C8" s="9" t="s">
        <v>16</v>
      </c>
      <c r="E8" s="9" t="s">
        <v>17</v>
      </c>
    </row>
    <row r="9" spans="1:5" x14ac:dyDescent="0.25">
      <c r="A9" s="7" t="s">
        <v>18</v>
      </c>
      <c r="B9" s="11">
        <v>3</v>
      </c>
      <c r="C9" s="9" t="s">
        <v>19</v>
      </c>
    </row>
    <row r="10" spans="1:5" x14ac:dyDescent="0.25">
      <c r="A10" s="7" t="s">
        <v>20</v>
      </c>
      <c r="B10" s="11">
        <v>20</v>
      </c>
      <c r="C10" s="9" t="s">
        <v>19</v>
      </c>
    </row>
    <row r="11" spans="1:5" x14ac:dyDescent="0.25">
      <c r="A11" s="7" t="s">
        <v>21</v>
      </c>
      <c r="B11" s="11">
        <v>10</v>
      </c>
      <c r="C11" s="9" t="s">
        <v>19</v>
      </c>
    </row>
    <row r="12" spans="1:5" x14ac:dyDescent="0.25">
      <c r="A12" s="7" t="s">
        <v>22</v>
      </c>
      <c r="B12" s="11">
        <v>0</v>
      </c>
      <c r="C12" s="9" t="s">
        <v>19</v>
      </c>
      <c r="E12" s="9" t="s">
        <v>23</v>
      </c>
    </row>
    <row r="13" spans="1:5" x14ac:dyDescent="0.25">
      <c r="A13" s="5" t="s">
        <v>24</v>
      </c>
      <c r="B13" s="6"/>
      <c r="C13" s="6"/>
      <c r="D13" s="6"/>
      <c r="E13" s="6"/>
    </row>
    <row r="14" spans="1:5" x14ac:dyDescent="0.25">
      <c r="A14" s="7" t="s">
        <v>25</v>
      </c>
      <c r="B14" s="12">
        <v>50</v>
      </c>
      <c r="C14" s="9" t="s">
        <v>26</v>
      </c>
      <c r="E14" s="9" t="s">
        <v>27</v>
      </c>
    </row>
    <row r="15" spans="1:5" x14ac:dyDescent="0.25">
      <c r="A15" s="7" t="s">
        <v>28</v>
      </c>
      <c r="B15" s="13">
        <v>60</v>
      </c>
      <c r="C15" s="9" t="s">
        <v>29</v>
      </c>
      <c r="E15" s="9" t="s">
        <v>30</v>
      </c>
    </row>
    <row r="16" spans="1:5" x14ac:dyDescent="0.25">
      <c r="A16" s="5" t="s">
        <v>31</v>
      </c>
      <c r="B16" s="6"/>
      <c r="C16" s="6"/>
      <c r="D16" s="6"/>
      <c r="E16" s="6"/>
    </row>
    <row r="17" spans="1:5" x14ac:dyDescent="0.25">
      <c r="A17" s="7" t="s">
        <v>32</v>
      </c>
      <c r="B17" s="10">
        <v>300</v>
      </c>
      <c r="C17" s="9" t="s">
        <v>33</v>
      </c>
      <c r="E17" s="9" t="s">
        <v>34</v>
      </c>
    </row>
    <row r="18" spans="1:5" x14ac:dyDescent="0.25">
      <c r="A18" s="7" t="s">
        <v>35</v>
      </c>
      <c r="B18" s="10">
        <v>150</v>
      </c>
      <c r="C18" s="9" t="s">
        <v>33</v>
      </c>
      <c r="E18" s="9" t="s">
        <v>36</v>
      </c>
    </row>
    <row r="19" spans="1:5" x14ac:dyDescent="0.25">
      <c r="A19" s="7" t="s">
        <v>37</v>
      </c>
      <c r="B19" s="13">
        <v>10</v>
      </c>
      <c r="C19" s="9" t="s">
        <v>38</v>
      </c>
      <c r="E19" s="9" t="s">
        <v>39</v>
      </c>
    </row>
    <row r="20" spans="1:5" x14ac:dyDescent="0.25">
      <c r="A20" s="7" t="s">
        <v>40</v>
      </c>
      <c r="B20" s="13">
        <v>80</v>
      </c>
      <c r="C20" s="9" t="s">
        <v>41</v>
      </c>
      <c r="E20" s="9" t="s">
        <v>42</v>
      </c>
    </row>
    <row r="21" spans="1:5" x14ac:dyDescent="0.25">
      <c r="A21" s="7" t="s">
        <v>43</v>
      </c>
      <c r="B21" s="10">
        <v>2000</v>
      </c>
      <c r="C21" s="9" t="s">
        <v>44</v>
      </c>
      <c r="E21" s="9" t="s">
        <v>45</v>
      </c>
    </row>
    <row r="22" spans="1:5" x14ac:dyDescent="0.25">
      <c r="A22" s="7" t="s">
        <v>46</v>
      </c>
      <c r="B22" s="14">
        <v>3</v>
      </c>
      <c r="C22" s="9" t="s">
        <v>47</v>
      </c>
      <c r="E22" s="9" t="s">
        <v>48</v>
      </c>
    </row>
    <row r="23" spans="1:5" x14ac:dyDescent="0.25">
      <c r="A23" s="5" t="s">
        <v>49</v>
      </c>
      <c r="B23" s="6"/>
      <c r="C23" s="6"/>
      <c r="D23" s="6"/>
      <c r="E23" s="6"/>
    </row>
    <row r="24" spans="1:5" x14ac:dyDescent="0.25">
      <c r="A24" s="7" t="s">
        <v>50</v>
      </c>
      <c r="B24" s="10">
        <v>0</v>
      </c>
      <c r="C24" s="9" t="s">
        <v>33</v>
      </c>
      <c r="E24" s="9" t="s">
        <v>51</v>
      </c>
    </row>
    <row r="25" spans="1:5" x14ac:dyDescent="0.25">
      <c r="A25" s="7" t="s">
        <v>52</v>
      </c>
      <c r="B25" s="10">
        <v>0</v>
      </c>
      <c r="C25" s="9" t="s">
        <v>33</v>
      </c>
      <c r="E25" s="9" t="s">
        <v>53</v>
      </c>
    </row>
    <row r="26" spans="1:5" x14ac:dyDescent="0.25">
      <c r="A26" s="5" t="s">
        <v>54</v>
      </c>
      <c r="B26" s="6"/>
      <c r="C26" s="6"/>
      <c r="D26" s="6"/>
      <c r="E26" s="6"/>
    </row>
    <row r="27" spans="1:5" ht="30" customHeight="1" x14ac:dyDescent="0.25">
      <c r="A27" s="3" t="s">
        <v>2</v>
      </c>
      <c r="B27" s="4" t="s">
        <v>55</v>
      </c>
      <c r="C27" s="4" t="s">
        <v>56</v>
      </c>
      <c r="D27" s="4" t="s">
        <v>57</v>
      </c>
      <c r="E27" s="4" t="s">
        <v>5</v>
      </c>
    </row>
    <row r="28" spans="1:5" x14ac:dyDescent="0.25">
      <c r="A28" s="7" t="s">
        <v>58</v>
      </c>
      <c r="B28" s="15">
        <v>0.1</v>
      </c>
      <c r="C28" s="15">
        <v>0.2</v>
      </c>
      <c r="D28" s="15">
        <v>0.3</v>
      </c>
      <c r="E28" s="9" t="s">
        <v>59</v>
      </c>
    </row>
    <row r="29" spans="1:5" x14ac:dyDescent="0.25">
      <c r="A29" s="7" t="s">
        <v>60</v>
      </c>
      <c r="B29" s="11">
        <v>0</v>
      </c>
      <c r="C29" s="11">
        <v>0</v>
      </c>
      <c r="D29" s="11">
        <v>0</v>
      </c>
      <c r="E29" s="9" t="s">
        <v>61</v>
      </c>
    </row>
    <row r="30" spans="1:5" x14ac:dyDescent="0.25">
      <c r="A30" s="7" t="s">
        <v>62</v>
      </c>
      <c r="B30" s="10">
        <v>0</v>
      </c>
      <c r="C30" s="10">
        <v>0</v>
      </c>
      <c r="D30" s="10">
        <v>0</v>
      </c>
      <c r="E30" s="9" t="s">
        <v>63</v>
      </c>
    </row>
    <row r="31" spans="1:5" x14ac:dyDescent="0.25">
      <c r="A31" s="7" t="s">
        <v>64</v>
      </c>
      <c r="B31" s="10">
        <v>0</v>
      </c>
      <c r="C31" s="10">
        <v>1200</v>
      </c>
      <c r="D31" s="10">
        <v>2400</v>
      </c>
      <c r="E31" s="9" t="s">
        <v>65</v>
      </c>
    </row>
    <row r="33" spans="1:7" x14ac:dyDescent="0.25">
      <c r="A33" s="5" t="s">
        <v>66</v>
      </c>
      <c r="B33" s="6"/>
      <c r="C33" s="6"/>
      <c r="D33" s="6"/>
      <c r="E33" s="6"/>
    </row>
    <row r="34" spans="1:7" x14ac:dyDescent="0.25">
      <c r="A34" s="7" t="s">
        <v>67</v>
      </c>
      <c r="B34" s="16">
        <v>52</v>
      </c>
      <c r="C34" s="9" t="s">
        <v>68</v>
      </c>
      <c r="E34" s="9" t="s">
        <v>69</v>
      </c>
    </row>
    <row r="37" spans="1:7" x14ac:dyDescent="0.25">
      <c r="A37" s="5" t="s">
        <v>70</v>
      </c>
      <c r="B37" s="6"/>
      <c r="C37" s="6"/>
      <c r="D37" s="6"/>
      <c r="E37" s="6"/>
      <c r="F37" s="6"/>
      <c r="G37" s="6"/>
    </row>
    <row r="38" spans="1:7" ht="30" customHeight="1" x14ac:dyDescent="0.25">
      <c r="A38" s="3" t="s">
        <v>7</v>
      </c>
      <c r="B38" s="4" t="s">
        <v>33</v>
      </c>
      <c r="C38" s="4" t="s">
        <v>16</v>
      </c>
      <c r="D38" s="4" t="s">
        <v>71</v>
      </c>
      <c r="E38" s="4" t="s">
        <v>72</v>
      </c>
      <c r="F38" s="4" t="s">
        <v>73</v>
      </c>
      <c r="G38" s="4" t="s">
        <v>74</v>
      </c>
    </row>
    <row r="39" spans="1:7" x14ac:dyDescent="0.25">
      <c r="A39" s="17" t="s">
        <v>75</v>
      </c>
      <c r="B39" s="10">
        <v>99</v>
      </c>
      <c r="C39" s="10">
        <v>990</v>
      </c>
      <c r="D39" s="11">
        <v>1</v>
      </c>
      <c r="E39" s="11">
        <v>5</v>
      </c>
      <c r="F39" s="11">
        <v>3</v>
      </c>
      <c r="G39" s="11">
        <v>0</v>
      </c>
    </row>
    <row r="40" spans="1:7" x14ac:dyDescent="0.25">
      <c r="A40" s="17" t="s">
        <v>76</v>
      </c>
      <c r="B40" s="10">
        <v>249</v>
      </c>
      <c r="C40" s="10">
        <v>2490</v>
      </c>
      <c r="D40" s="11">
        <v>3</v>
      </c>
      <c r="E40" s="11">
        <v>20</v>
      </c>
      <c r="F40" s="11">
        <v>8</v>
      </c>
      <c r="G40" s="11">
        <v>0</v>
      </c>
    </row>
    <row r="41" spans="1:7" x14ac:dyDescent="0.25">
      <c r="A41" s="17" t="s">
        <v>77</v>
      </c>
      <c r="B41" s="10">
        <v>599</v>
      </c>
      <c r="C41" s="10">
        <v>5990</v>
      </c>
      <c r="D41" s="11">
        <v>5</v>
      </c>
      <c r="E41" s="11">
        <v>50</v>
      </c>
      <c r="F41" s="11">
        <v>15</v>
      </c>
      <c r="G41" s="11">
        <v>5</v>
      </c>
    </row>
    <row r="42" spans="1:7" x14ac:dyDescent="0.25">
      <c r="A42" s="17" t="s">
        <v>8</v>
      </c>
      <c r="B42" s="10">
        <v>999</v>
      </c>
      <c r="C42" s="10">
        <v>9990</v>
      </c>
      <c r="D42" s="11">
        <v>10</v>
      </c>
      <c r="E42" s="11">
        <v>100</v>
      </c>
      <c r="F42" s="11">
        <v>25</v>
      </c>
      <c r="G42" s="11">
        <v>15</v>
      </c>
    </row>
    <row r="43" spans="1:7" x14ac:dyDescent="0.25">
      <c r="A43" s="17" t="s">
        <v>78</v>
      </c>
      <c r="B43" s="10">
        <v>1999</v>
      </c>
      <c r="C43" s="10">
        <v>19990</v>
      </c>
      <c r="D43" s="11">
        <v>25</v>
      </c>
      <c r="E43" s="11">
        <v>250</v>
      </c>
      <c r="F43" s="11">
        <v>50</v>
      </c>
      <c r="G43" s="11">
        <v>40</v>
      </c>
    </row>
    <row r="44" spans="1:7" x14ac:dyDescent="0.25">
      <c r="A44" s="17" t="s">
        <v>79</v>
      </c>
      <c r="B44" s="18"/>
      <c r="C44" s="18"/>
      <c r="D44" s="18"/>
      <c r="E44" s="18"/>
      <c r="F44" s="18"/>
      <c r="G44" s="18"/>
    </row>
    <row r="46" spans="1:7" x14ac:dyDescent="0.25">
      <c r="A46" s="9" t="s">
        <v>80</v>
      </c>
    </row>
    <row r="47" spans="1:7" x14ac:dyDescent="0.25">
      <c r="A47" s="9" t="s">
        <v>81</v>
      </c>
    </row>
  </sheetData>
  <dataValidations count="4">
    <dataValidation type="list" sqref="B6" xr:uid="{00000000-0002-0000-0000-000000000000}">
      <formula1>PlanNames</formula1>
    </dataValidation>
    <dataValidation type="list" sqref="B7" xr:uid="{00000000-0002-0000-0000-000001000000}">
      <formula1>"Annual,Monthly"</formula1>
    </dataValidation>
    <dataValidation type="decimal" showErrorMessage="1" errorTitle="Share" error="Enter a share between 0% and 100%." sqref="B28:D28" xr:uid="{00000000-0002-0000-0000-000002000000}">
      <formula1>0</formula1>
      <formula2>1</formula2>
    </dataValidation>
    <dataValidation type="decimal" operator="greaterThanOrEqual" showErrorMessage="1" errorTitle="Value" error="Enter a number that is zero or more." sqref="B8 B9 B10 B11 B12 B14 B15 B17 B18 B19 B20 B21 B22 B24 B25 B29:D31" xr:uid="{00000000-0002-0000-0000-000003000000}">
      <formula1>0</formula1>
    </dataValidation>
  </dataValidations>
  <printOptions horizontalCentered="1"/>
  <pageMargins left="0.5" right="0.5" top="0.6" bottom="0.7" header="0.5" footer="0.5"/>
  <pageSetup fitToHeight="0" orientation="portrait"/>
  <headerFooter>
    <oddFooter>&amp;C&amp;8 ErezAgent ROI Calculator v4.94.3  |  &amp;A  | 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5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2" customWidth="1"/>
    <col min="2" max="4" width="16" customWidth="1"/>
    <col min="5" max="5" width="60" customWidth="1"/>
  </cols>
  <sheetData>
    <row r="1" spans="1:5" ht="24" customHeight="1" x14ac:dyDescent="0.35">
      <c r="A1" s="1" t="s">
        <v>82</v>
      </c>
    </row>
    <row r="2" spans="1:5" x14ac:dyDescent="0.25">
      <c r="A2" s="2" t="s">
        <v>83</v>
      </c>
    </row>
    <row r="4" spans="1:5" ht="30" customHeight="1" x14ac:dyDescent="0.25">
      <c r="A4" s="3" t="s">
        <v>84</v>
      </c>
      <c r="B4" s="4" t="s">
        <v>55</v>
      </c>
      <c r="C4" s="4" t="s">
        <v>56</v>
      </c>
      <c r="D4" s="4" t="s">
        <v>57</v>
      </c>
      <c r="E4" s="4" t="s">
        <v>85</v>
      </c>
    </row>
    <row r="5" spans="1:5" x14ac:dyDescent="0.25">
      <c r="A5" s="5" t="s">
        <v>86</v>
      </c>
      <c r="B5" s="6"/>
      <c r="C5" s="6"/>
      <c r="D5" s="6"/>
      <c r="E5" s="6"/>
    </row>
    <row r="6" spans="1:5" x14ac:dyDescent="0.25">
      <c r="A6" s="7" t="s">
        <v>87</v>
      </c>
      <c r="B6" s="19">
        <f>Inputs!$B$15*Inputs!$B$28</f>
        <v>6</v>
      </c>
      <c r="C6" s="19">
        <f>Inputs!$B$15*Inputs!$C$28</f>
        <v>12</v>
      </c>
      <c r="D6" s="19">
        <f>Inputs!$B$15*Inputs!$D$28</f>
        <v>18</v>
      </c>
      <c r="E6" s="9" t="s">
        <v>88</v>
      </c>
    </row>
    <row r="7" spans="1:5" x14ac:dyDescent="0.25">
      <c r="A7" s="7" t="s">
        <v>89</v>
      </c>
      <c r="B7" s="20">
        <f>B6*Weeks*Inputs!$B$14</f>
        <v>15600</v>
      </c>
      <c r="C7" s="20">
        <f>C6*Weeks*Inputs!$B$14</f>
        <v>31200</v>
      </c>
      <c r="D7" s="20">
        <f>D6*Weeks*Inputs!$B$14</f>
        <v>46800</v>
      </c>
      <c r="E7" s="9" t="s">
        <v>90</v>
      </c>
    </row>
    <row r="8" spans="1:5" x14ac:dyDescent="0.25">
      <c r="A8" s="7" t="s">
        <v>91</v>
      </c>
      <c r="B8" s="20">
        <f>12*Inputs!$B$29*(Inputs!$B$24-Inputs!$B$25)</f>
        <v>0</v>
      </c>
      <c r="C8" s="20">
        <f>12*Inputs!$C$29*(Inputs!$B$24-Inputs!$B$25)</f>
        <v>0</v>
      </c>
      <c r="D8" s="20">
        <f>12*Inputs!$D$29*(Inputs!$B$24-Inputs!$B$25)</f>
        <v>0</v>
      </c>
      <c r="E8" s="9" t="s">
        <v>92</v>
      </c>
    </row>
    <row r="9" spans="1:5" x14ac:dyDescent="0.25">
      <c r="A9" s="7" t="s">
        <v>93</v>
      </c>
      <c r="B9" s="20">
        <f>Inputs!$B$30</f>
        <v>0</v>
      </c>
      <c r="C9" s="20">
        <f>Inputs!$C$30</f>
        <v>0</v>
      </c>
      <c r="D9" s="20">
        <f>Inputs!$D$30</f>
        <v>0</v>
      </c>
      <c r="E9" s="9" t="s">
        <v>94</v>
      </c>
    </row>
    <row r="10" spans="1:5" x14ac:dyDescent="0.25">
      <c r="A10" s="7" t="s">
        <v>95</v>
      </c>
      <c r="B10" s="20">
        <f>Inputs!$B$31</f>
        <v>0</v>
      </c>
      <c r="C10" s="20">
        <f>Inputs!$C$31</f>
        <v>1200</v>
      </c>
      <c r="D10" s="20">
        <f>Inputs!$D$31</f>
        <v>2400</v>
      </c>
      <c r="E10" s="9" t="s">
        <v>94</v>
      </c>
    </row>
    <row r="11" spans="1:5" x14ac:dyDescent="0.25">
      <c r="A11" s="17" t="s">
        <v>86</v>
      </c>
      <c r="B11" s="21">
        <f>SUM(B7:B10)</f>
        <v>15600</v>
      </c>
      <c r="C11" s="21">
        <f>SUM(C7:C10)</f>
        <v>32400</v>
      </c>
      <c r="D11" s="21">
        <f>SUM(D7:D10)</f>
        <v>49200</v>
      </c>
      <c r="E11" s="9" t="s">
        <v>96</v>
      </c>
    </row>
    <row r="12" spans="1:5" x14ac:dyDescent="0.25">
      <c r="A12" s="5" t="s">
        <v>97</v>
      </c>
      <c r="B12" s="6"/>
      <c r="C12" s="6"/>
      <c r="D12" s="6"/>
      <c r="E12" s="6"/>
    </row>
    <row r="13" spans="1:5" x14ac:dyDescent="0.25">
      <c r="A13" s="7" t="s">
        <v>98</v>
      </c>
      <c r="B13" s="20">
        <f>IF(Inputs!$B$6="Enterprise and Provider",Inputs!$B$8,IF(Inputs!$B$7="Annual",INDEX(PlanAnnual,MATCH(Inputs!$B$6,PlanNames,0)),12*INDEX(PlanMonthly,MATCH(Inputs!$B$6,PlanNames,0))))</f>
        <v>9990</v>
      </c>
      <c r="C13" s="20">
        <f>IF(Inputs!$B$6="Enterprise and Provider",Inputs!$B$8,IF(Inputs!$B$7="Annual",INDEX(PlanAnnual,MATCH(Inputs!$B$6,PlanNames,0)),12*INDEX(PlanMonthly,MATCH(Inputs!$B$6,PlanNames,0))))</f>
        <v>9990</v>
      </c>
      <c r="D13" s="20">
        <f>IF(Inputs!$B$6="Enterprise and Provider",Inputs!$B$8,IF(Inputs!$B$7="Annual",INDEX(PlanAnnual,MATCH(Inputs!$B$6,PlanNames,0)),12*INDEX(PlanMonthly,MATCH(Inputs!$B$6,PlanNames,0))))</f>
        <v>9990</v>
      </c>
      <c r="E13" s="9" t="s">
        <v>99</v>
      </c>
    </row>
    <row r="14" spans="1:5" x14ac:dyDescent="0.25">
      <c r="A14" s="7" t="s">
        <v>32</v>
      </c>
      <c r="B14" s="20">
        <f>Inputs!$B$17*12</f>
        <v>3600</v>
      </c>
      <c r="C14" s="20">
        <f>Inputs!$B$17*12</f>
        <v>3600</v>
      </c>
      <c r="D14" s="20">
        <f>Inputs!$B$17*12</f>
        <v>3600</v>
      </c>
      <c r="E14" s="9" t="s">
        <v>100</v>
      </c>
    </row>
    <row r="15" spans="1:5" x14ac:dyDescent="0.25">
      <c r="A15" s="7" t="s">
        <v>35</v>
      </c>
      <c r="B15" s="20">
        <f>Inputs!$B$18*12</f>
        <v>1800</v>
      </c>
      <c r="C15" s="20">
        <f>Inputs!$B$18*12</f>
        <v>1800</v>
      </c>
      <c r="D15" s="20">
        <f>Inputs!$B$18*12</f>
        <v>1800</v>
      </c>
      <c r="E15" s="9" t="s">
        <v>100</v>
      </c>
    </row>
    <row r="16" spans="1:5" x14ac:dyDescent="0.25">
      <c r="A16" s="7" t="s">
        <v>37</v>
      </c>
      <c r="B16" s="20">
        <f>Inputs!$B$19*12*Inputs!$B$14</f>
        <v>6000</v>
      </c>
      <c r="C16" s="20">
        <f>Inputs!$B$19*12*Inputs!$B$14</f>
        <v>6000</v>
      </c>
      <c r="D16" s="20">
        <f>Inputs!$B$19*12*Inputs!$B$14</f>
        <v>6000</v>
      </c>
      <c r="E16" s="9" t="s">
        <v>101</v>
      </c>
    </row>
    <row r="17" spans="1:5" x14ac:dyDescent="0.25">
      <c r="A17" s="7" t="s">
        <v>102</v>
      </c>
      <c r="B17" s="20">
        <f>Inputs!$B$20*Inputs!$B$14+Inputs!$B$21</f>
        <v>6000</v>
      </c>
      <c r="C17" s="20">
        <f>Inputs!$B$20*Inputs!$B$14+Inputs!$B$21</f>
        <v>6000</v>
      </c>
      <c r="D17" s="20">
        <f>Inputs!$B$20*Inputs!$B$14+Inputs!$B$21</f>
        <v>6000</v>
      </c>
      <c r="E17" s="9" t="s">
        <v>103</v>
      </c>
    </row>
    <row r="18" spans="1:5" x14ac:dyDescent="0.25">
      <c r="A18" s="7" t="s">
        <v>104</v>
      </c>
      <c r="B18" s="20">
        <f>B17/Inputs!$B$22</f>
        <v>2000</v>
      </c>
      <c r="C18" s="20">
        <f>C17/Inputs!$B$22</f>
        <v>2000</v>
      </c>
      <c r="D18" s="20">
        <f>D17/Inputs!$B$22</f>
        <v>2000</v>
      </c>
      <c r="E18" s="9" t="s">
        <v>105</v>
      </c>
    </row>
    <row r="19" spans="1:5" x14ac:dyDescent="0.25">
      <c r="A19" s="7" t="s">
        <v>106</v>
      </c>
      <c r="B19" s="20">
        <f>B13+B14+B15+B16</f>
        <v>21390</v>
      </c>
      <c r="C19" s="20">
        <f>C13+C14+C15+C16</f>
        <v>21390</v>
      </c>
      <c r="D19" s="20">
        <f>D13+D14+D15+D16</f>
        <v>21390</v>
      </c>
      <c r="E19" s="9" t="s">
        <v>107</v>
      </c>
    </row>
    <row r="20" spans="1:5" x14ac:dyDescent="0.25">
      <c r="A20" s="17" t="s">
        <v>97</v>
      </c>
      <c r="B20" s="21">
        <f>B19+B18</f>
        <v>23390</v>
      </c>
      <c r="C20" s="21">
        <f>C19+C18</f>
        <v>23390</v>
      </c>
      <c r="D20" s="21">
        <f>D19+D18</f>
        <v>23390</v>
      </c>
      <c r="E20" s="9" t="s">
        <v>108</v>
      </c>
    </row>
    <row r="21" spans="1:5" x14ac:dyDescent="0.25">
      <c r="A21" s="5" t="s">
        <v>109</v>
      </c>
      <c r="B21" s="6"/>
      <c r="C21" s="6"/>
      <c r="D21" s="6"/>
      <c r="E21" s="6"/>
    </row>
    <row r="22" spans="1:5" x14ac:dyDescent="0.25">
      <c r="A22" s="17" t="s">
        <v>110</v>
      </c>
      <c r="B22" s="21">
        <f>B11-B20</f>
        <v>-7790</v>
      </c>
      <c r="C22" s="21">
        <f>C11-C20</f>
        <v>9010</v>
      </c>
      <c r="D22" s="21">
        <f>D11-D20</f>
        <v>25810</v>
      </c>
      <c r="E22" s="9" t="s">
        <v>111</v>
      </c>
    </row>
    <row r="23" spans="1:5" x14ac:dyDescent="0.25">
      <c r="A23" s="17" t="s">
        <v>112</v>
      </c>
      <c r="B23" s="22">
        <f>IF(B20=0,"n/a",B22/B20)</f>
        <v>-0.33304831124412143</v>
      </c>
      <c r="C23" s="22">
        <f>IF(C20=0,"n/a",C22/C20)</f>
        <v>0.38520735356990166</v>
      </c>
      <c r="D23" s="22">
        <f>IF(D20=0,"n/a",D22/D20)</f>
        <v>1.1034630183839247</v>
      </c>
      <c r="E23" s="9" t="s">
        <v>113</v>
      </c>
    </row>
    <row r="24" spans="1:5" x14ac:dyDescent="0.25">
      <c r="A24" s="7" t="s">
        <v>114</v>
      </c>
      <c r="B24" s="20">
        <f>(B11-B19)/12</f>
        <v>-482.5</v>
      </c>
      <c r="C24" s="20">
        <f>(C11-C19)/12</f>
        <v>917.5</v>
      </c>
      <c r="D24" s="20">
        <f>(D11-D19)/12</f>
        <v>2317.5</v>
      </c>
      <c r="E24" s="9" t="s">
        <v>115</v>
      </c>
    </row>
    <row r="25" spans="1:5" x14ac:dyDescent="0.25">
      <c r="A25" s="7" t="s">
        <v>116</v>
      </c>
      <c r="B25" s="20">
        <f>B19/12</f>
        <v>1782.5</v>
      </c>
      <c r="C25" s="20">
        <f>C19/12</f>
        <v>1782.5</v>
      </c>
      <c r="D25" s="20">
        <f>D19/12</f>
        <v>1782.5</v>
      </c>
      <c r="E25" s="9" t="s">
        <v>117</v>
      </c>
    </row>
    <row r="26" spans="1:5" x14ac:dyDescent="0.25">
      <c r="A26" s="17" t="s">
        <v>118</v>
      </c>
      <c r="B26" s="23" t="str">
        <f>IF(B24&lt;=0,"No payback",(B17+B25)/B24)</f>
        <v>No payback</v>
      </c>
      <c r="C26" s="23">
        <f>IF(C24&lt;=0,"No payback",(C17+C25)/C24)</f>
        <v>8.4822888283378752</v>
      </c>
      <c r="D26" s="23">
        <f>IF(D24&lt;=0,"No payback",(D17+D25)/D24)</f>
        <v>3.3581445523193096</v>
      </c>
      <c r="E26" s="9" t="s">
        <v>119</v>
      </c>
    </row>
    <row r="27" spans="1:5" x14ac:dyDescent="0.25">
      <c r="A27" s="17" t="s">
        <v>120</v>
      </c>
      <c r="B27" s="23">
        <f>IF(Inputs!$B$14=0,"n/a",B20/(Weeks*Inputs!$B$14))</f>
        <v>8.9961538461538453</v>
      </c>
      <c r="C27" s="23">
        <f>IF(Inputs!$B$14=0,"n/a",C20/(Weeks*Inputs!$B$14))</f>
        <v>8.9961538461538453</v>
      </c>
      <c r="D27" s="23">
        <f>IF(Inputs!$B$14=0,"n/a",D20/(Weeks*Inputs!$B$14))</f>
        <v>8.9961538461538453</v>
      </c>
      <c r="E27" s="9" t="s">
        <v>121</v>
      </c>
    </row>
    <row r="28" spans="1:5" x14ac:dyDescent="0.25">
      <c r="A28" s="7" t="s">
        <v>122</v>
      </c>
      <c r="B28" s="24">
        <f>IF(Inputs!$B$14=0,"n/a",MAX(0,B20-B8-B9-B10)/(Weeks*Inputs!$B$14))</f>
        <v>8.9961538461538453</v>
      </c>
      <c r="C28" s="24">
        <f>IF(Inputs!$B$14=0,"n/a",MAX(0,C20-C8-C9-C10)/(Weeks*Inputs!$B$14))</f>
        <v>8.5346153846153854</v>
      </c>
      <c r="D28" s="24">
        <f>IF(Inputs!$B$14=0,"n/a",MAX(0,D20-D8-D9-D10)/(Weeks*Inputs!$B$14))</f>
        <v>8.0730769230769237</v>
      </c>
      <c r="E28" s="9" t="s">
        <v>123</v>
      </c>
    </row>
    <row r="29" spans="1:5" x14ac:dyDescent="0.25">
      <c r="A29" s="7" t="s">
        <v>124</v>
      </c>
      <c r="B29" s="25">
        <f>IF(OR(Inputs!$B$14=0,Inputs!$B$15=0),"n/a",B27/Inputs!$B$15)</f>
        <v>0.14993589743589741</v>
      </c>
      <c r="C29" s="25">
        <f>IF(OR(Inputs!$B$14=0,Inputs!$B$15=0),"n/a",C27/Inputs!$B$15)</f>
        <v>0.14993589743589741</v>
      </c>
      <c r="D29" s="25">
        <f>IF(OR(Inputs!$B$14=0,Inputs!$B$15=0),"n/a",D27/Inputs!$B$15)</f>
        <v>0.14993589743589741</v>
      </c>
      <c r="E29" s="9" t="s">
        <v>125</v>
      </c>
    </row>
    <row r="30" spans="1:5" x14ac:dyDescent="0.25">
      <c r="A30" s="5" t="s">
        <v>126</v>
      </c>
      <c r="B30" s="6"/>
      <c r="C30" s="6"/>
      <c r="D30" s="6"/>
      <c r="E30" s="6"/>
    </row>
    <row r="31" spans="1:5" x14ac:dyDescent="0.25">
      <c r="A31" s="7" t="s">
        <v>71</v>
      </c>
      <c r="B31" s="26" t="str">
        <f>IF(Inputs!$B$6="Enterprise and Provider","Custom limits",IF(Inputs!$B$9&lt;=INDEX(PlanVentures,MATCH(Inputs!$B$6,PlanNames,0)),"Within plan","Exceeds plan"))</f>
        <v>Within plan</v>
      </c>
      <c r="E31" s="9" t="s">
        <v>127</v>
      </c>
    </row>
    <row r="32" spans="1:5" x14ac:dyDescent="0.25">
      <c r="A32" s="7" t="s">
        <v>72</v>
      </c>
      <c r="B32" s="26" t="str">
        <f>IF(Inputs!$B$6="Enterprise and Provider","Custom limits",IF(Inputs!$B$10&lt;=INDEX(PlanProjects,MATCH(Inputs!$B$6,PlanNames,0)),"Within plan","Exceeds plan"))</f>
        <v>Within plan</v>
      </c>
      <c r="E32" s="9" t="s">
        <v>127</v>
      </c>
    </row>
    <row r="33" spans="1:5" x14ac:dyDescent="0.25">
      <c r="A33" s="7" t="s">
        <v>73</v>
      </c>
      <c r="B33" s="26" t="str">
        <f>IF(Inputs!$B$6="Enterprise and Provider","Custom limits",IF(Inputs!$B$11&lt;=INDEX(PlanUsers,MATCH(Inputs!$B$6,PlanNames,0)),"Within plan","Exceeds plan"))</f>
        <v>Within plan</v>
      </c>
      <c r="E33" s="9" t="s">
        <v>127</v>
      </c>
    </row>
    <row r="34" spans="1:5" x14ac:dyDescent="0.25">
      <c r="A34" s="7" t="s">
        <v>74</v>
      </c>
      <c r="B34" s="26" t="str">
        <f>IF(Inputs!$B$6="Enterprise and Provider","Custom limits",IF(Inputs!$B$12&lt;=INDEX(PlanWorkspaces,MATCH(Inputs!$B$6,PlanNames,0)),"Within plan","Exceeds plan"))</f>
        <v>Within plan</v>
      </c>
      <c r="E34" s="9" t="s">
        <v>127</v>
      </c>
    </row>
    <row r="35" spans="1:5" x14ac:dyDescent="0.25">
      <c r="A35" s="27" t="str">
        <f>IF(AND(Inputs!$B$6="Enterprise and Provider",Inputs!$B$8=0),"Enter your quoted annual price in Inputs.",IF(COUNTIF(B31:B34,"Exceeds plan")&gt;0,"Choose a larger plan or reduce the capacity you need.",""))</f>
        <v/>
      </c>
    </row>
  </sheetData>
  <printOptions horizontalCentered="1"/>
  <pageMargins left="0.5" right="0.5" top="0.6" bottom="0.7" header="0.5" footer="0.5"/>
  <pageSetup fitToHeight="0" orientation="portrait"/>
  <headerFooter>
    <oddFooter>&amp;C&amp;8 ErezAgent ROI Calculator v4.94.3  |  &amp;A  |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5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6" customWidth="1"/>
    <col min="2" max="4" width="18" customWidth="1"/>
    <col min="5" max="8" width="14" customWidth="1"/>
    <col min="9" max="9" width="40" customWidth="1"/>
  </cols>
  <sheetData>
    <row r="1" spans="1:9" ht="24" customHeight="1" x14ac:dyDescent="0.35">
      <c r="A1" s="1" t="s">
        <v>128</v>
      </c>
    </row>
    <row r="2" spans="1:9" x14ac:dyDescent="0.25">
      <c r="A2" s="2" t="s">
        <v>129</v>
      </c>
    </row>
    <row r="4" spans="1:9" x14ac:dyDescent="0.25">
      <c r="A4" s="28" t="s">
        <v>130</v>
      </c>
      <c r="C4" s="10">
        <v>25</v>
      </c>
      <c r="D4" s="10">
        <v>50</v>
      </c>
      <c r="E4" s="10">
        <v>75</v>
      </c>
      <c r="F4" s="10">
        <v>100</v>
      </c>
    </row>
    <row r="6" spans="1:9" x14ac:dyDescent="0.25">
      <c r="A6" s="5" t="s">
        <v>131</v>
      </c>
      <c r="B6" s="6"/>
      <c r="C6" s="6"/>
      <c r="D6" s="6"/>
      <c r="E6" s="6"/>
      <c r="F6" s="6"/>
      <c r="G6" s="6"/>
      <c r="H6" s="6"/>
      <c r="I6" s="6"/>
    </row>
    <row r="7" spans="1:9" ht="30" customHeight="1" x14ac:dyDescent="0.25">
      <c r="A7" s="3" t="s">
        <v>7</v>
      </c>
      <c r="B7" s="4" t="s">
        <v>132</v>
      </c>
      <c r="C7" s="29">
        <f>C$4</f>
        <v>25</v>
      </c>
      <c r="D7" s="29">
        <f>D$4</f>
        <v>50</v>
      </c>
      <c r="E7" s="29">
        <f>E$4</f>
        <v>75</v>
      </c>
      <c r="F7" s="29">
        <f>F$4</f>
        <v>100</v>
      </c>
    </row>
    <row r="8" spans="1:9" x14ac:dyDescent="0.25">
      <c r="A8" s="17" t="str">
        <f>INDEX(PlanNames,1)</f>
        <v>Starter</v>
      </c>
      <c r="B8" s="20">
        <f>INDEX(PlanAnnual,MATCH($A8,PlanNames,0))</f>
        <v>990</v>
      </c>
      <c r="C8" s="30">
        <f t="shared" ref="C8:F12" si="0">$B8/(Weeks*C$4)</f>
        <v>0.7615384615384615</v>
      </c>
      <c r="D8" s="30">
        <f t="shared" si="0"/>
        <v>0.38076923076923075</v>
      </c>
      <c r="E8" s="30">
        <f t="shared" si="0"/>
        <v>0.25384615384615383</v>
      </c>
      <c r="F8" s="30">
        <f t="shared" si="0"/>
        <v>0.19038461538461537</v>
      </c>
      <c r="I8" s="9" t="s">
        <v>133</v>
      </c>
    </row>
    <row r="9" spans="1:9" x14ac:dyDescent="0.25">
      <c r="A9" s="17" t="str">
        <f>INDEX(PlanNames,2)</f>
        <v>Builder</v>
      </c>
      <c r="B9" s="20">
        <f>INDEX(PlanAnnual,MATCH($A9,PlanNames,0))</f>
        <v>2490</v>
      </c>
      <c r="C9" s="30">
        <f t="shared" si="0"/>
        <v>1.9153846153846155</v>
      </c>
      <c r="D9" s="30">
        <f t="shared" si="0"/>
        <v>0.95769230769230773</v>
      </c>
      <c r="E9" s="30">
        <f t="shared" si="0"/>
        <v>0.63846153846153841</v>
      </c>
      <c r="F9" s="30">
        <f t="shared" si="0"/>
        <v>0.47884615384615387</v>
      </c>
    </row>
    <row r="10" spans="1:9" x14ac:dyDescent="0.25">
      <c r="A10" s="17" t="str">
        <f>INDEX(PlanNames,3)</f>
        <v>Agency</v>
      </c>
      <c r="B10" s="20">
        <f>INDEX(PlanAnnual,MATCH($A10,PlanNames,0))</f>
        <v>5990</v>
      </c>
      <c r="C10" s="30">
        <f t="shared" si="0"/>
        <v>4.6076923076923073</v>
      </c>
      <c r="D10" s="30">
        <f t="shared" si="0"/>
        <v>2.3038461538461537</v>
      </c>
      <c r="E10" s="30">
        <f t="shared" si="0"/>
        <v>1.535897435897436</v>
      </c>
      <c r="F10" s="30">
        <f t="shared" si="0"/>
        <v>1.1519230769230768</v>
      </c>
    </row>
    <row r="11" spans="1:9" x14ac:dyDescent="0.25">
      <c r="A11" s="17" t="str">
        <f>INDEX(PlanNames,4)</f>
        <v>Business</v>
      </c>
      <c r="B11" s="20">
        <f>INDEX(PlanAnnual,MATCH($A11,PlanNames,0))</f>
        <v>9990</v>
      </c>
      <c r="C11" s="30">
        <f t="shared" si="0"/>
        <v>7.6846153846153848</v>
      </c>
      <c r="D11" s="30">
        <f t="shared" si="0"/>
        <v>3.8423076923076924</v>
      </c>
      <c r="E11" s="30">
        <f t="shared" si="0"/>
        <v>2.5615384615384613</v>
      </c>
      <c r="F11" s="30">
        <f t="shared" si="0"/>
        <v>1.9211538461538462</v>
      </c>
    </row>
    <row r="12" spans="1:9" x14ac:dyDescent="0.25">
      <c r="A12" s="17" t="str">
        <f>INDEX(PlanNames,5)</f>
        <v>Business Plus</v>
      </c>
      <c r="B12" s="20">
        <f>INDEX(PlanAnnual,MATCH($A12,PlanNames,0))</f>
        <v>19990</v>
      </c>
      <c r="C12" s="30">
        <f t="shared" si="0"/>
        <v>15.376923076923077</v>
      </c>
      <c r="D12" s="30">
        <f t="shared" si="0"/>
        <v>7.6884615384615387</v>
      </c>
      <c r="E12" s="30">
        <f t="shared" si="0"/>
        <v>5.1256410256410261</v>
      </c>
      <c r="F12" s="30">
        <f t="shared" si="0"/>
        <v>3.8442307692307693</v>
      </c>
    </row>
    <row r="15" spans="1:9" x14ac:dyDescent="0.25">
      <c r="A15" s="5" t="s">
        <v>134</v>
      </c>
      <c r="B15" s="6"/>
      <c r="C15" s="6"/>
      <c r="D15" s="6"/>
      <c r="E15" s="6"/>
      <c r="F15" s="6"/>
      <c r="G15" s="6"/>
      <c r="H15" s="6"/>
      <c r="I15" s="6"/>
    </row>
    <row r="16" spans="1:9" ht="44.1" customHeight="1" x14ac:dyDescent="0.25">
      <c r="A16" s="3" t="s">
        <v>7</v>
      </c>
      <c r="B16" s="4" t="s">
        <v>132</v>
      </c>
      <c r="C16" s="4" t="s">
        <v>135</v>
      </c>
      <c r="D16" s="4" t="s">
        <v>136</v>
      </c>
      <c r="E16" s="29">
        <f>C$4</f>
        <v>25</v>
      </c>
      <c r="F16" s="29">
        <f>D$4</f>
        <v>50</v>
      </c>
      <c r="G16" s="29">
        <f>E$4</f>
        <v>75</v>
      </c>
      <c r="H16" s="29">
        <f>F$4</f>
        <v>100</v>
      </c>
    </row>
    <row r="17" spans="1:9" x14ac:dyDescent="0.25">
      <c r="A17" s="17" t="str">
        <f t="shared" ref="A17:B21" si="1">A8</f>
        <v>Starter</v>
      </c>
      <c r="B17" s="20">
        <f t="shared" si="1"/>
        <v>990</v>
      </c>
      <c r="C17" s="10">
        <v>40</v>
      </c>
      <c r="D17" s="13">
        <v>2</v>
      </c>
      <c r="E17" s="30">
        <f t="shared" ref="E17:H21" si="2">($B17+$C17*12)/(Weeks*C$4)+$D17*12/Weeks</f>
        <v>1.5923076923076924</v>
      </c>
      <c r="F17" s="30">
        <f t="shared" si="2"/>
        <v>1.0269230769230768</v>
      </c>
      <c r="G17" s="30">
        <f t="shared" si="2"/>
        <v>0.83846153846153848</v>
      </c>
      <c r="H17" s="30">
        <f t="shared" si="2"/>
        <v>0.74423076923076925</v>
      </c>
      <c r="I17" s="9" t="s">
        <v>137</v>
      </c>
    </row>
    <row r="18" spans="1:9" x14ac:dyDescent="0.25">
      <c r="A18" s="17" t="str">
        <f t="shared" si="1"/>
        <v>Builder</v>
      </c>
      <c r="B18" s="20">
        <f t="shared" si="1"/>
        <v>2490</v>
      </c>
      <c r="C18" s="10">
        <v>80</v>
      </c>
      <c r="D18" s="13">
        <v>3</v>
      </c>
      <c r="E18" s="30">
        <f t="shared" si="2"/>
        <v>3.3461538461538458</v>
      </c>
      <c r="F18" s="30">
        <f t="shared" si="2"/>
        <v>2.0192307692307692</v>
      </c>
      <c r="G18" s="30">
        <f t="shared" si="2"/>
        <v>1.5769230769230769</v>
      </c>
      <c r="H18" s="30">
        <f t="shared" si="2"/>
        <v>1.3557692307692308</v>
      </c>
    </row>
    <row r="19" spans="1:9" x14ac:dyDescent="0.25">
      <c r="A19" s="17" t="str">
        <f t="shared" si="1"/>
        <v>Agency</v>
      </c>
      <c r="B19" s="20">
        <f t="shared" si="1"/>
        <v>5990</v>
      </c>
      <c r="C19" s="10">
        <v>200</v>
      </c>
      <c r="D19" s="13">
        <v>10</v>
      </c>
      <c r="E19" s="30">
        <f t="shared" si="2"/>
        <v>8.7615384615384606</v>
      </c>
      <c r="F19" s="30">
        <f t="shared" si="2"/>
        <v>5.5346153846153845</v>
      </c>
      <c r="G19" s="30">
        <f t="shared" si="2"/>
        <v>4.4589743589743591</v>
      </c>
      <c r="H19" s="30">
        <f t="shared" si="2"/>
        <v>3.921153846153846</v>
      </c>
    </row>
    <row r="20" spans="1:9" x14ac:dyDescent="0.25">
      <c r="A20" s="17" t="str">
        <f t="shared" si="1"/>
        <v>Business</v>
      </c>
      <c r="B20" s="20">
        <f t="shared" si="1"/>
        <v>9990</v>
      </c>
      <c r="C20" s="10">
        <v>300</v>
      </c>
      <c r="D20" s="13">
        <v>10</v>
      </c>
      <c r="E20" s="30">
        <f t="shared" si="2"/>
        <v>12.761538461538461</v>
      </c>
      <c r="F20" s="30">
        <f t="shared" si="2"/>
        <v>7.5346153846153845</v>
      </c>
      <c r="G20" s="30">
        <f t="shared" si="2"/>
        <v>5.7923076923076922</v>
      </c>
      <c r="H20" s="30">
        <f t="shared" si="2"/>
        <v>4.921153846153846</v>
      </c>
    </row>
    <row r="21" spans="1:9" x14ac:dyDescent="0.25">
      <c r="A21" s="17" t="str">
        <f t="shared" si="1"/>
        <v>Business Plus</v>
      </c>
      <c r="B21" s="20">
        <f t="shared" si="1"/>
        <v>19990</v>
      </c>
      <c r="C21" s="10">
        <v>600</v>
      </c>
      <c r="D21" s="13">
        <v>16</v>
      </c>
      <c r="E21" s="30">
        <f t="shared" si="2"/>
        <v>24.607692307692307</v>
      </c>
      <c r="F21" s="30">
        <f t="shared" si="2"/>
        <v>14.149999999999999</v>
      </c>
      <c r="G21" s="30">
        <f t="shared" si="2"/>
        <v>10.664102564102564</v>
      </c>
      <c r="H21" s="30">
        <f t="shared" si="2"/>
        <v>8.921153846153846</v>
      </c>
    </row>
    <row r="24" spans="1:9" x14ac:dyDescent="0.25">
      <c r="A24" s="9" t="s">
        <v>138</v>
      </c>
    </row>
    <row r="25" spans="1:9" x14ac:dyDescent="0.25">
      <c r="A25" s="9" t="s">
        <v>139</v>
      </c>
    </row>
  </sheetData>
  <printOptions horizontalCentered="1"/>
  <pageMargins left="0.5" right="0.5" top="0.6" bottom="0.7" header="0.5" footer="0.5"/>
  <pageSetup fitToHeight="0" orientation="landscape"/>
  <headerFooter>
    <oddFooter>&amp;C&amp;8 ErezAgent ROI Calculator v4.94.3  |  &amp;A  | 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5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2" customWidth="1"/>
    <col min="2" max="4" width="16" customWidth="1"/>
    <col min="5" max="5" width="60" customWidth="1"/>
  </cols>
  <sheetData>
    <row r="1" spans="1:5" ht="24" customHeight="1" x14ac:dyDescent="0.35">
      <c r="A1" s="1" t="s">
        <v>140</v>
      </c>
    </row>
    <row r="2" spans="1:5" x14ac:dyDescent="0.25">
      <c r="A2" s="2" t="s">
        <v>141</v>
      </c>
    </row>
    <row r="4" spans="1:5" ht="21.95" customHeight="1" x14ac:dyDescent="0.25">
      <c r="A4" s="31" t="s">
        <v>142</v>
      </c>
      <c r="B4" s="32"/>
      <c r="C4" s="32"/>
      <c r="D4" s="32"/>
      <c r="E4" s="32"/>
    </row>
    <row r="5" spans="1:5" x14ac:dyDescent="0.25">
      <c r="A5" s="27" t="s">
        <v>143</v>
      </c>
    </row>
    <row r="6" spans="1:5" x14ac:dyDescent="0.25">
      <c r="A6" s="5" t="s">
        <v>6</v>
      </c>
      <c r="B6" s="6"/>
      <c r="C6" s="6"/>
      <c r="D6" s="6"/>
      <c r="E6" s="6"/>
    </row>
    <row r="7" spans="1:5" x14ac:dyDescent="0.25">
      <c r="A7" s="7" t="s">
        <v>7</v>
      </c>
      <c r="B7" s="8" t="s">
        <v>75</v>
      </c>
      <c r="C7" s="9" t="s">
        <v>9</v>
      </c>
    </row>
    <row r="8" spans="1:5" x14ac:dyDescent="0.25">
      <c r="A8" s="7" t="s">
        <v>11</v>
      </c>
      <c r="B8" s="8" t="s">
        <v>12</v>
      </c>
      <c r="C8" s="9" t="s">
        <v>13</v>
      </c>
    </row>
    <row r="9" spans="1:5" x14ac:dyDescent="0.25">
      <c r="A9" s="7" t="s">
        <v>15</v>
      </c>
      <c r="B9" s="10">
        <v>0</v>
      </c>
      <c r="C9" s="9" t="s">
        <v>16</v>
      </c>
    </row>
    <row r="10" spans="1:5" x14ac:dyDescent="0.25">
      <c r="A10" s="7" t="s">
        <v>18</v>
      </c>
      <c r="B10" s="11">
        <v>1</v>
      </c>
      <c r="C10" s="9" t="s">
        <v>19</v>
      </c>
    </row>
    <row r="11" spans="1:5" x14ac:dyDescent="0.25">
      <c r="A11" s="7" t="s">
        <v>20</v>
      </c>
      <c r="B11" s="11">
        <v>3</v>
      </c>
      <c r="C11" s="9" t="s">
        <v>19</v>
      </c>
    </row>
    <row r="12" spans="1:5" x14ac:dyDescent="0.25">
      <c r="A12" s="7" t="s">
        <v>21</v>
      </c>
      <c r="B12" s="11">
        <v>1</v>
      </c>
      <c r="C12" s="9" t="s">
        <v>19</v>
      </c>
    </row>
    <row r="13" spans="1:5" x14ac:dyDescent="0.25">
      <c r="A13" s="7" t="s">
        <v>22</v>
      </c>
      <c r="B13" s="11">
        <v>0</v>
      </c>
      <c r="C13" s="9" t="s">
        <v>19</v>
      </c>
    </row>
    <row r="14" spans="1:5" x14ac:dyDescent="0.25">
      <c r="A14" s="5" t="s">
        <v>24</v>
      </c>
      <c r="B14" s="6"/>
      <c r="C14" s="6"/>
      <c r="D14" s="6"/>
      <c r="E14" s="6"/>
    </row>
    <row r="15" spans="1:5" x14ac:dyDescent="0.25">
      <c r="A15" s="7" t="s">
        <v>25</v>
      </c>
      <c r="B15" s="12">
        <v>50</v>
      </c>
      <c r="C15" s="9" t="s">
        <v>26</v>
      </c>
    </row>
    <row r="16" spans="1:5" x14ac:dyDescent="0.25">
      <c r="A16" s="7" t="s">
        <v>28</v>
      </c>
      <c r="B16" s="13">
        <v>10</v>
      </c>
      <c r="C16" s="9" t="s">
        <v>29</v>
      </c>
    </row>
    <row r="17" spans="1:5" x14ac:dyDescent="0.25">
      <c r="A17" s="5" t="s">
        <v>31</v>
      </c>
      <c r="B17" s="6"/>
      <c r="C17" s="6"/>
      <c r="D17" s="6"/>
      <c r="E17" s="6"/>
    </row>
    <row r="18" spans="1:5" x14ac:dyDescent="0.25">
      <c r="A18" s="7" t="s">
        <v>32</v>
      </c>
      <c r="B18" s="10">
        <v>40</v>
      </c>
      <c r="C18" s="9" t="s">
        <v>33</v>
      </c>
    </row>
    <row r="19" spans="1:5" x14ac:dyDescent="0.25">
      <c r="A19" s="7" t="s">
        <v>35</v>
      </c>
      <c r="B19" s="10">
        <v>25</v>
      </c>
      <c r="C19" s="9" t="s">
        <v>33</v>
      </c>
    </row>
    <row r="20" spans="1:5" x14ac:dyDescent="0.25">
      <c r="A20" s="7" t="s">
        <v>37</v>
      </c>
      <c r="B20" s="13">
        <v>2</v>
      </c>
      <c r="C20" s="9" t="s">
        <v>38</v>
      </c>
    </row>
    <row r="21" spans="1:5" x14ac:dyDescent="0.25">
      <c r="A21" s="7" t="s">
        <v>40</v>
      </c>
      <c r="B21" s="13">
        <v>12</v>
      </c>
      <c r="C21" s="9" t="s">
        <v>41</v>
      </c>
    </row>
    <row r="22" spans="1:5" x14ac:dyDescent="0.25">
      <c r="A22" s="7" t="s">
        <v>43</v>
      </c>
      <c r="B22" s="10">
        <v>0</v>
      </c>
      <c r="C22" s="9" t="s">
        <v>44</v>
      </c>
    </row>
    <row r="23" spans="1:5" x14ac:dyDescent="0.25">
      <c r="A23" s="7" t="s">
        <v>46</v>
      </c>
      <c r="B23" s="14">
        <v>3</v>
      </c>
      <c r="C23" s="9" t="s">
        <v>47</v>
      </c>
    </row>
    <row r="24" spans="1:5" x14ac:dyDescent="0.25">
      <c r="A24" s="5" t="s">
        <v>49</v>
      </c>
      <c r="B24" s="6"/>
      <c r="C24" s="6"/>
      <c r="D24" s="6"/>
      <c r="E24" s="6"/>
    </row>
    <row r="25" spans="1:5" x14ac:dyDescent="0.25">
      <c r="A25" s="7" t="s">
        <v>50</v>
      </c>
      <c r="B25" s="10">
        <v>0</v>
      </c>
      <c r="C25" s="9" t="s">
        <v>33</v>
      </c>
    </row>
    <row r="26" spans="1:5" x14ac:dyDescent="0.25">
      <c r="A26" s="7" t="s">
        <v>52</v>
      </c>
      <c r="B26" s="10">
        <v>0</v>
      </c>
      <c r="C26" s="9" t="s">
        <v>33</v>
      </c>
    </row>
    <row r="27" spans="1:5" x14ac:dyDescent="0.25">
      <c r="A27" s="5" t="s">
        <v>54</v>
      </c>
      <c r="B27" s="6"/>
      <c r="C27" s="6"/>
      <c r="D27" s="6"/>
      <c r="E27" s="6"/>
    </row>
    <row r="28" spans="1:5" ht="30" customHeight="1" x14ac:dyDescent="0.25">
      <c r="A28" s="3" t="s">
        <v>2</v>
      </c>
      <c r="B28" s="4" t="s">
        <v>55</v>
      </c>
      <c r="C28" s="4" t="s">
        <v>56</v>
      </c>
      <c r="D28" s="4" t="s">
        <v>57</v>
      </c>
      <c r="E28" s="4" t="s">
        <v>5</v>
      </c>
    </row>
    <row r="29" spans="1:5" x14ac:dyDescent="0.25">
      <c r="A29" s="7" t="s">
        <v>58</v>
      </c>
      <c r="B29" s="15">
        <v>0.1</v>
      </c>
      <c r="C29" s="15">
        <v>0.2</v>
      </c>
      <c r="D29" s="15">
        <v>0.3</v>
      </c>
    </row>
    <row r="30" spans="1:5" x14ac:dyDescent="0.25">
      <c r="A30" s="7" t="s">
        <v>60</v>
      </c>
      <c r="B30" s="11">
        <v>0</v>
      </c>
      <c r="C30" s="11">
        <v>0</v>
      </c>
      <c r="D30" s="11">
        <v>0</v>
      </c>
    </row>
    <row r="31" spans="1:5" x14ac:dyDescent="0.25">
      <c r="A31" s="7" t="s">
        <v>62</v>
      </c>
      <c r="B31" s="10">
        <v>0</v>
      </c>
      <c r="C31" s="10">
        <v>0</v>
      </c>
      <c r="D31" s="10">
        <v>0</v>
      </c>
    </row>
    <row r="32" spans="1:5" x14ac:dyDescent="0.25">
      <c r="A32" s="7" t="s">
        <v>64</v>
      </c>
      <c r="B32" s="10">
        <v>0</v>
      </c>
      <c r="C32" s="10">
        <v>0</v>
      </c>
      <c r="D32" s="10">
        <v>0</v>
      </c>
    </row>
    <row r="34" spans="1:5" ht="30" customHeight="1" x14ac:dyDescent="0.25">
      <c r="A34" s="3" t="s">
        <v>84</v>
      </c>
      <c r="B34" s="4" t="s">
        <v>55</v>
      </c>
      <c r="C34" s="4" t="s">
        <v>56</v>
      </c>
      <c r="D34" s="4" t="s">
        <v>57</v>
      </c>
      <c r="E34" s="4" t="s">
        <v>85</v>
      </c>
    </row>
    <row r="35" spans="1:5" x14ac:dyDescent="0.25">
      <c r="A35" s="5" t="s">
        <v>86</v>
      </c>
      <c r="B35" s="6"/>
      <c r="C35" s="6"/>
      <c r="D35" s="6"/>
      <c r="E35" s="6"/>
    </row>
    <row r="36" spans="1:5" x14ac:dyDescent="0.25">
      <c r="A36" s="7" t="s">
        <v>87</v>
      </c>
      <c r="B36" s="19">
        <f>$B$16*$B$29</f>
        <v>1</v>
      </c>
      <c r="C36" s="19">
        <f>$B$16*$C$29</f>
        <v>2</v>
      </c>
      <c r="D36" s="19">
        <f>$B$16*$D$29</f>
        <v>3</v>
      </c>
      <c r="E36" s="9" t="s">
        <v>88</v>
      </c>
    </row>
    <row r="37" spans="1:5" x14ac:dyDescent="0.25">
      <c r="A37" s="7" t="s">
        <v>89</v>
      </c>
      <c r="B37" s="20">
        <f>B36*Weeks*$B$15</f>
        <v>2600</v>
      </c>
      <c r="C37" s="20">
        <f>C36*Weeks*$B$15</f>
        <v>5200</v>
      </c>
      <c r="D37" s="20">
        <f>D36*Weeks*$B$15</f>
        <v>7800</v>
      </c>
      <c r="E37" s="9" t="s">
        <v>90</v>
      </c>
    </row>
    <row r="38" spans="1:5" x14ac:dyDescent="0.25">
      <c r="A38" s="7" t="s">
        <v>91</v>
      </c>
      <c r="B38" s="20">
        <f>12*$B$30*($B$25-$B$26)</f>
        <v>0</v>
      </c>
      <c r="C38" s="20">
        <f>12*$C$30*($B$25-$B$26)</f>
        <v>0</v>
      </c>
      <c r="D38" s="20">
        <f>12*$D$30*($B$25-$B$26)</f>
        <v>0</v>
      </c>
      <c r="E38" s="9" t="s">
        <v>92</v>
      </c>
    </row>
    <row r="39" spans="1:5" x14ac:dyDescent="0.25">
      <c r="A39" s="7" t="s">
        <v>93</v>
      </c>
      <c r="B39" s="20">
        <f>$B$31</f>
        <v>0</v>
      </c>
      <c r="C39" s="20">
        <f>$C$31</f>
        <v>0</v>
      </c>
      <c r="D39" s="20">
        <f>$D$31</f>
        <v>0</v>
      </c>
      <c r="E39" s="9" t="s">
        <v>94</v>
      </c>
    </row>
    <row r="40" spans="1:5" x14ac:dyDescent="0.25">
      <c r="A40" s="7" t="s">
        <v>95</v>
      </c>
      <c r="B40" s="20">
        <f>$B$32</f>
        <v>0</v>
      </c>
      <c r="C40" s="20">
        <f>$C$32</f>
        <v>0</v>
      </c>
      <c r="D40" s="20">
        <f>$D$32</f>
        <v>0</v>
      </c>
      <c r="E40" s="9" t="s">
        <v>94</v>
      </c>
    </row>
    <row r="41" spans="1:5" x14ac:dyDescent="0.25">
      <c r="A41" s="17" t="s">
        <v>86</v>
      </c>
      <c r="B41" s="21">
        <f>SUM(B37:B40)</f>
        <v>2600</v>
      </c>
      <c r="C41" s="21">
        <f>SUM(C37:C40)</f>
        <v>5200</v>
      </c>
      <c r="D41" s="21">
        <f>SUM(D37:D40)</f>
        <v>7800</v>
      </c>
      <c r="E41" s="9" t="s">
        <v>96</v>
      </c>
    </row>
    <row r="42" spans="1:5" x14ac:dyDescent="0.25">
      <c r="A42" s="5" t="s">
        <v>97</v>
      </c>
      <c r="B42" s="6"/>
      <c r="C42" s="6"/>
      <c r="D42" s="6"/>
      <c r="E42" s="6"/>
    </row>
    <row r="43" spans="1:5" x14ac:dyDescent="0.25">
      <c r="A43" s="7" t="s">
        <v>98</v>
      </c>
      <c r="B43" s="20">
        <f>IF($B$7="Enterprise and Provider",$B$9,IF($B$8="Annual",INDEX(PlanAnnual,MATCH($B$7,PlanNames,0)),12*INDEX(PlanMonthly,MATCH($B$7,PlanNames,0))))</f>
        <v>990</v>
      </c>
      <c r="C43" s="20">
        <f>IF($B$7="Enterprise and Provider",$B$9,IF($B$8="Annual",INDEX(PlanAnnual,MATCH($B$7,PlanNames,0)),12*INDEX(PlanMonthly,MATCH($B$7,PlanNames,0))))</f>
        <v>990</v>
      </c>
      <c r="D43" s="20">
        <f>IF($B$7="Enterprise and Provider",$B$9,IF($B$8="Annual",INDEX(PlanAnnual,MATCH($B$7,PlanNames,0)),12*INDEX(PlanMonthly,MATCH($B$7,PlanNames,0))))</f>
        <v>990</v>
      </c>
      <c r="E43" s="9" t="s">
        <v>99</v>
      </c>
    </row>
    <row r="44" spans="1:5" x14ac:dyDescent="0.25">
      <c r="A44" s="7" t="s">
        <v>32</v>
      </c>
      <c r="B44" s="20">
        <f>$B$18*12</f>
        <v>480</v>
      </c>
      <c r="C44" s="20">
        <f>$B$18*12</f>
        <v>480</v>
      </c>
      <c r="D44" s="20">
        <f>$B$18*12</f>
        <v>480</v>
      </c>
      <c r="E44" s="9" t="s">
        <v>100</v>
      </c>
    </row>
    <row r="45" spans="1:5" x14ac:dyDescent="0.25">
      <c r="A45" s="7" t="s">
        <v>35</v>
      </c>
      <c r="B45" s="20">
        <f>$B$19*12</f>
        <v>300</v>
      </c>
      <c r="C45" s="20">
        <f>$B$19*12</f>
        <v>300</v>
      </c>
      <c r="D45" s="20">
        <f>$B$19*12</f>
        <v>300</v>
      </c>
      <c r="E45" s="9" t="s">
        <v>100</v>
      </c>
    </row>
    <row r="46" spans="1:5" x14ac:dyDescent="0.25">
      <c r="A46" s="7" t="s">
        <v>37</v>
      </c>
      <c r="B46" s="20">
        <f>$B$20*12*$B$15</f>
        <v>1200</v>
      </c>
      <c r="C46" s="20">
        <f>$B$20*12*$B$15</f>
        <v>1200</v>
      </c>
      <c r="D46" s="20">
        <f>$B$20*12*$B$15</f>
        <v>1200</v>
      </c>
      <c r="E46" s="9" t="s">
        <v>101</v>
      </c>
    </row>
    <row r="47" spans="1:5" x14ac:dyDescent="0.25">
      <c r="A47" s="7" t="s">
        <v>102</v>
      </c>
      <c r="B47" s="20">
        <f>$B$21*$B$15+$B$22</f>
        <v>600</v>
      </c>
      <c r="C47" s="20">
        <f>$B$21*$B$15+$B$22</f>
        <v>600</v>
      </c>
      <c r="D47" s="20">
        <f>$B$21*$B$15+$B$22</f>
        <v>600</v>
      </c>
      <c r="E47" s="9" t="s">
        <v>103</v>
      </c>
    </row>
    <row r="48" spans="1:5" x14ac:dyDescent="0.25">
      <c r="A48" s="7" t="s">
        <v>104</v>
      </c>
      <c r="B48" s="20">
        <f>B47/$B$23</f>
        <v>200</v>
      </c>
      <c r="C48" s="20">
        <f>C47/$B$23</f>
        <v>200</v>
      </c>
      <c r="D48" s="20">
        <f>D47/$B$23</f>
        <v>200</v>
      </c>
      <c r="E48" s="9" t="s">
        <v>105</v>
      </c>
    </row>
    <row r="49" spans="1:5" x14ac:dyDescent="0.25">
      <c r="A49" s="7" t="s">
        <v>106</v>
      </c>
      <c r="B49" s="20">
        <f>B43+B44+B45+B46</f>
        <v>2970</v>
      </c>
      <c r="C49" s="20">
        <f>C43+C44+C45+C46</f>
        <v>2970</v>
      </c>
      <c r="D49" s="20">
        <f>D43+D44+D45+D46</f>
        <v>2970</v>
      </c>
      <c r="E49" s="9" t="s">
        <v>107</v>
      </c>
    </row>
    <row r="50" spans="1:5" x14ac:dyDescent="0.25">
      <c r="A50" s="17" t="s">
        <v>97</v>
      </c>
      <c r="B50" s="21">
        <f>B49+B48</f>
        <v>3170</v>
      </c>
      <c r="C50" s="21">
        <f>C49+C48</f>
        <v>3170</v>
      </c>
      <c r="D50" s="21">
        <f>D49+D48</f>
        <v>3170</v>
      </c>
      <c r="E50" s="9" t="s">
        <v>108</v>
      </c>
    </row>
    <row r="51" spans="1:5" x14ac:dyDescent="0.25">
      <c r="A51" s="5" t="s">
        <v>109</v>
      </c>
      <c r="B51" s="6"/>
      <c r="C51" s="6"/>
      <c r="D51" s="6"/>
      <c r="E51" s="6"/>
    </row>
    <row r="52" spans="1:5" x14ac:dyDescent="0.25">
      <c r="A52" s="17" t="s">
        <v>110</v>
      </c>
      <c r="B52" s="21">
        <f>B41-B50</f>
        <v>-570</v>
      </c>
      <c r="C52" s="21">
        <f>C41-C50</f>
        <v>2030</v>
      </c>
      <c r="D52" s="21">
        <f>D41-D50</f>
        <v>4630</v>
      </c>
      <c r="E52" s="9" t="s">
        <v>111</v>
      </c>
    </row>
    <row r="53" spans="1:5" x14ac:dyDescent="0.25">
      <c r="A53" s="17" t="s">
        <v>112</v>
      </c>
      <c r="B53" s="22">
        <f>IF(B50=0,"n/a",B52/B50)</f>
        <v>-0.17981072555205047</v>
      </c>
      <c r="C53" s="22">
        <f>IF(C50=0,"n/a",C52/C50)</f>
        <v>0.64037854889589907</v>
      </c>
      <c r="D53" s="22">
        <f>IF(D50=0,"n/a",D52/D50)</f>
        <v>1.4605678233438486</v>
      </c>
      <c r="E53" s="9" t="s">
        <v>113</v>
      </c>
    </row>
    <row r="54" spans="1:5" x14ac:dyDescent="0.25">
      <c r="A54" s="7" t="s">
        <v>114</v>
      </c>
      <c r="B54" s="20">
        <f>(B41-B49)/12</f>
        <v>-30.833333333333332</v>
      </c>
      <c r="C54" s="20">
        <f>(C41-C49)/12</f>
        <v>185.83333333333334</v>
      </c>
      <c r="D54" s="20">
        <f>(D41-D49)/12</f>
        <v>402.5</v>
      </c>
      <c r="E54" s="9" t="s">
        <v>115</v>
      </c>
    </row>
    <row r="55" spans="1:5" x14ac:dyDescent="0.25">
      <c r="A55" s="7" t="s">
        <v>116</v>
      </c>
      <c r="B55" s="20">
        <f>B49/12</f>
        <v>247.5</v>
      </c>
      <c r="C55" s="20">
        <f>C49/12</f>
        <v>247.5</v>
      </c>
      <c r="D55" s="20">
        <f>D49/12</f>
        <v>247.5</v>
      </c>
      <c r="E55" s="9" t="s">
        <v>117</v>
      </c>
    </row>
    <row r="56" spans="1:5" x14ac:dyDescent="0.25">
      <c r="A56" s="17" t="s">
        <v>118</v>
      </c>
      <c r="B56" s="23" t="str">
        <f>IF(B54&lt;=0,"No payback",(B47+B55)/B54)</f>
        <v>No payback</v>
      </c>
      <c r="C56" s="23">
        <f>IF(C54&lt;=0,"No payback",(C47+C55)/C54)</f>
        <v>4.5605381165919283</v>
      </c>
      <c r="D56" s="23">
        <f>IF(D54&lt;=0,"No payback",(D47+D55)/D54)</f>
        <v>2.1055900621118013</v>
      </c>
      <c r="E56" s="9" t="s">
        <v>119</v>
      </c>
    </row>
    <row r="57" spans="1:5" x14ac:dyDescent="0.25">
      <c r="A57" s="17" t="s">
        <v>120</v>
      </c>
      <c r="B57" s="23">
        <f>IF($B$15=0,"n/a",B50/(Weeks*$B$15))</f>
        <v>1.2192307692307693</v>
      </c>
      <c r="C57" s="23">
        <f>IF($B$15=0,"n/a",C50/(Weeks*$B$15))</f>
        <v>1.2192307692307693</v>
      </c>
      <c r="D57" s="23">
        <f>IF($B$15=0,"n/a",D50/(Weeks*$B$15))</f>
        <v>1.2192307692307693</v>
      </c>
      <c r="E57" s="9" t="s">
        <v>121</v>
      </c>
    </row>
    <row r="58" spans="1:5" x14ac:dyDescent="0.25">
      <c r="A58" s="7" t="s">
        <v>122</v>
      </c>
      <c r="B58" s="24">
        <f>IF($B$15=0,"n/a",MAX(0,B50-B38-B39-B40)/(Weeks*$B$15))</f>
        <v>1.2192307692307693</v>
      </c>
      <c r="C58" s="24">
        <f>IF($B$15=0,"n/a",MAX(0,C50-C38-C39-C40)/(Weeks*$B$15))</f>
        <v>1.2192307692307693</v>
      </c>
      <c r="D58" s="24">
        <f>IF($B$15=0,"n/a",MAX(0,D50-D38-D39-D40)/(Weeks*$B$15))</f>
        <v>1.2192307692307693</v>
      </c>
      <c r="E58" s="9" t="s">
        <v>123</v>
      </c>
    </row>
    <row r="59" spans="1:5" x14ac:dyDescent="0.25">
      <c r="A59" s="7" t="s">
        <v>124</v>
      </c>
      <c r="B59" s="25">
        <f>IF(OR($B$15=0,$B$16=0),"n/a",B57/$B$16)</f>
        <v>0.12192307692307694</v>
      </c>
      <c r="C59" s="25">
        <f>IF(OR($B$15=0,$B$16=0),"n/a",C57/$B$16)</f>
        <v>0.12192307692307694</v>
      </c>
      <c r="D59" s="25">
        <f>IF(OR($B$15=0,$B$16=0),"n/a",D57/$B$16)</f>
        <v>0.12192307692307694</v>
      </c>
      <c r="E59" s="9" t="s">
        <v>125</v>
      </c>
    </row>
    <row r="60" spans="1:5" x14ac:dyDescent="0.25">
      <c r="A60" s="5" t="s">
        <v>126</v>
      </c>
      <c r="B60" s="6"/>
      <c r="C60" s="6"/>
      <c r="D60" s="6"/>
      <c r="E60" s="6"/>
    </row>
    <row r="61" spans="1:5" x14ac:dyDescent="0.25">
      <c r="A61" s="7" t="s">
        <v>71</v>
      </c>
      <c r="B61" s="26" t="str">
        <f>IF($B$7="Enterprise and Provider","Custom limits",IF($B$10&lt;=INDEX(PlanVentures,MATCH($B$7,PlanNames,0)),"Within plan","Exceeds plan"))</f>
        <v>Within plan</v>
      </c>
      <c r="E61" s="9" t="s">
        <v>127</v>
      </c>
    </row>
    <row r="62" spans="1:5" x14ac:dyDescent="0.25">
      <c r="A62" s="7" t="s">
        <v>72</v>
      </c>
      <c r="B62" s="26" t="str">
        <f>IF($B$7="Enterprise and Provider","Custom limits",IF($B$11&lt;=INDEX(PlanProjects,MATCH($B$7,PlanNames,0)),"Within plan","Exceeds plan"))</f>
        <v>Within plan</v>
      </c>
      <c r="E62" s="9" t="s">
        <v>127</v>
      </c>
    </row>
    <row r="63" spans="1:5" x14ac:dyDescent="0.25">
      <c r="A63" s="7" t="s">
        <v>73</v>
      </c>
      <c r="B63" s="26" t="str">
        <f>IF($B$7="Enterprise and Provider","Custom limits",IF($B$12&lt;=INDEX(PlanUsers,MATCH($B$7,PlanNames,0)),"Within plan","Exceeds plan"))</f>
        <v>Within plan</v>
      </c>
      <c r="E63" s="9" t="s">
        <v>127</v>
      </c>
    </row>
    <row r="64" spans="1:5" x14ac:dyDescent="0.25">
      <c r="A64" s="7" t="s">
        <v>74</v>
      </c>
      <c r="B64" s="26" t="str">
        <f>IF($B$7="Enterprise and Provider","Custom limits",IF($B$13&lt;=INDEX(PlanWorkspaces,MATCH($B$7,PlanNames,0)),"Within plan","Exceeds plan"))</f>
        <v>Within plan</v>
      </c>
      <c r="E64" s="9" t="s">
        <v>127</v>
      </c>
    </row>
    <row r="65" spans="1:5" x14ac:dyDescent="0.25">
      <c r="A65" s="27" t="str">
        <f>IF(AND($B$7="Enterprise and Provider",$B$9=0),"Enter your quoted annual price in Inputs.",IF(COUNTIF(B61:B64,"Exceeds plan")&gt;0,"Choose a larger plan or reduce the capacity you need.",""))</f>
        <v/>
      </c>
    </row>
    <row r="69" spans="1:5" ht="21.95" customHeight="1" x14ac:dyDescent="0.25">
      <c r="A69" s="31" t="s">
        <v>144</v>
      </c>
      <c r="B69" s="32"/>
      <c r="C69" s="32"/>
      <c r="D69" s="32"/>
      <c r="E69" s="32"/>
    </row>
    <row r="70" spans="1:5" x14ac:dyDescent="0.25">
      <c r="A70" s="27" t="s">
        <v>143</v>
      </c>
    </row>
    <row r="71" spans="1:5" x14ac:dyDescent="0.25">
      <c r="A71" s="5" t="s">
        <v>6</v>
      </c>
      <c r="B71" s="6"/>
      <c r="C71" s="6"/>
      <c r="D71" s="6"/>
      <c r="E71" s="6"/>
    </row>
    <row r="72" spans="1:5" x14ac:dyDescent="0.25">
      <c r="A72" s="7" t="s">
        <v>7</v>
      </c>
      <c r="B72" s="8" t="s">
        <v>8</v>
      </c>
      <c r="C72" s="9" t="s">
        <v>9</v>
      </c>
    </row>
    <row r="73" spans="1:5" x14ac:dyDescent="0.25">
      <c r="A73" s="7" t="s">
        <v>11</v>
      </c>
      <c r="B73" s="8" t="s">
        <v>12</v>
      </c>
      <c r="C73" s="9" t="s">
        <v>13</v>
      </c>
    </row>
    <row r="74" spans="1:5" x14ac:dyDescent="0.25">
      <c r="A74" s="7" t="s">
        <v>15</v>
      </c>
      <c r="B74" s="10">
        <v>0</v>
      </c>
      <c r="C74" s="9" t="s">
        <v>16</v>
      </c>
    </row>
    <row r="75" spans="1:5" x14ac:dyDescent="0.25">
      <c r="A75" s="7" t="s">
        <v>18</v>
      </c>
      <c r="B75" s="11">
        <v>3</v>
      </c>
      <c r="C75" s="9" t="s">
        <v>19</v>
      </c>
    </row>
    <row r="76" spans="1:5" x14ac:dyDescent="0.25">
      <c r="A76" s="7" t="s">
        <v>20</v>
      </c>
      <c r="B76" s="11">
        <v>20</v>
      </c>
      <c r="C76" s="9" t="s">
        <v>19</v>
      </c>
    </row>
    <row r="77" spans="1:5" x14ac:dyDescent="0.25">
      <c r="A77" s="7" t="s">
        <v>21</v>
      </c>
      <c r="B77" s="11">
        <v>10</v>
      </c>
      <c r="C77" s="9" t="s">
        <v>19</v>
      </c>
    </row>
    <row r="78" spans="1:5" x14ac:dyDescent="0.25">
      <c r="A78" s="7" t="s">
        <v>22</v>
      </c>
      <c r="B78" s="11">
        <v>0</v>
      </c>
      <c r="C78" s="9" t="s">
        <v>19</v>
      </c>
    </row>
    <row r="79" spans="1:5" x14ac:dyDescent="0.25">
      <c r="A79" s="5" t="s">
        <v>24</v>
      </c>
      <c r="B79" s="6"/>
      <c r="C79" s="6"/>
      <c r="D79" s="6"/>
      <c r="E79" s="6"/>
    </row>
    <row r="80" spans="1:5" x14ac:dyDescent="0.25">
      <c r="A80" s="7" t="s">
        <v>25</v>
      </c>
      <c r="B80" s="12">
        <v>50</v>
      </c>
      <c r="C80" s="9" t="s">
        <v>26</v>
      </c>
    </row>
    <row r="81" spans="1:5" x14ac:dyDescent="0.25">
      <c r="A81" s="7" t="s">
        <v>28</v>
      </c>
      <c r="B81" s="13">
        <v>60</v>
      </c>
      <c r="C81" s="9" t="s">
        <v>29</v>
      </c>
    </row>
    <row r="82" spans="1:5" x14ac:dyDescent="0.25">
      <c r="A82" s="5" t="s">
        <v>31</v>
      </c>
      <c r="B82" s="6"/>
      <c r="C82" s="6"/>
      <c r="D82" s="6"/>
      <c r="E82" s="6"/>
    </row>
    <row r="83" spans="1:5" x14ac:dyDescent="0.25">
      <c r="A83" s="7" t="s">
        <v>32</v>
      </c>
      <c r="B83" s="10">
        <v>300</v>
      </c>
      <c r="C83" s="9" t="s">
        <v>33</v>
      </c>
    </row>
    <row r="84" spans="1:5" x14ac:dyDescent="0.25">
      <c r="A84" s="7" t="s">
        <v>35</v>
      </c>
      <c r="B84" s="10">
        <v>150</v>
      </c>
      <c r="C84" s="9" t="s">
        <v>33</v>
      </c>
    </row>
    <row r="85" spans="1:5" x14ac:dyDescent="0.25">
      <c r="A85" s="7" t="s">
        <v>37</v>
      </c>
      <c r="B85" s="13">
        <v>10</v>
      </c>
      <c r="C85" s="9" t="s">
        <v>38</v>
      </c>
    </row>
    <row r="86" spans="1:5" x14ac:dyDescent="0.25">
      <c r="A86" s="7" t="s">
        <v>40</v>
      </c>
      <c r="B86" s="13">
        <v>80</v>
      </c>
      <c r="C86" s="9" t="s">
        <v>41</v>
      </c>
    </row>
    <row r="87" spans="1:5" x14ac:dyDescent="0.25">
      <c r="A87" s="7" t="s">
        <v>43</v>
      </c>
      <c r="B87" s="10">
        <v>2000</v>
      </c>
      <c r="C87" s="9" t="s">
        <v>44</v>
      </c>
    </row>
    <row r="88" spans="1:5" x14ac:dyDescent="0.25">
      <c r="A88" s="7" t="s">
        <v>46</v>
      </c>
      <c r="B88" s="14">
        <v>3</v>
      </c>
      <c r="C88" s="9" t="s">
        <v>47</v>
      </c>
    </row>
    <row r="89" spans="1:5" x14ac:dyDescent="0.25">
      <c r="A89" s="5" t="s">
        <v>49</v>
      </c>
      <c r="B89" s="6"/>
      <c r="C89" s="6"/>
      <c r="D89" s="6"/>
      <c r="E89" s="6"/>
    </row>
    <row r="90" spans="1:5" x14ac:dyDescent="0.25">
      <c r="A90" s="7" t="s">
        <v>50</v>
      </c>
      <c r="B90" s="10">
        <v>0</v>
      </c>
      <c r="C90" s="9" t="s">
        <v>33</v>
      </c>
    </row>
    <row r="91" spans="1:5" x14ac:dyDescent="0.25">
      <c r="A91" s="7" t="s">
        <v>52</v>
      </c>
      <c r="B91" s="10">
        <v>0</v>
      </c>
      <c r="C91" s="9" t="s">
        <v>33</v>
      </c>
    </row>
    <row r="92" spans="1:5" x14ac:dyDescent="0.25">
      <c r="A92" s="5" t="s">
        <v>54</v>
      </c>
      <c r="B92" s="6"/>
      <c r="C92" s="6"/>
      <c r="D92" s="6"/>
      <c r="E92" s="6"/>
    </row>
    <row r="93" spans="1:5" ht="30" customHeight="1" x14ac:dyDescent="0.25">
      <c r="A93" s="3" t="s">
        <v>2</v>
      </c>
      <c r="B93" s="4" t="s">
        <v>55</v>
      </c>
      <c r="C93" s="4" t="s">
        <v>56</v>
      </c>
      <c r="D93" s="4" t="s">
        <v>57</v>
      </c>
      <c r="E93" s="4" t="s">
        <v>5</v>
      </c>
    </row>
    <row r="94" spans="1:5" x14ac:dyDescent="0.25">
      <c r="A94" s="7" t="s">
        <v>58</v>
      </c>
      <c r="B94" s="15">
        <v>0.1</v>
      </c>
      <c r="C94" s="15">
        <v>0.2</v>
      </c>
      <c r="D94" s="15">
        <v>0.3</v>
      </c>
    </row>
    <row r="95" spans="1:5" x14ac:dyDescent="0.25">
      <c r="A95" s="7" t="s">
        <v>60</v>
      </c>
      <c r="B95" s="11">
        <v>0</v>
      </c>
      <c r="C95" s="11">
        <v>0</v>
      </c>
      <c r="D95" s="11">
        <v>0</v>
      </c>
    </row>
    <row r="96" spans="1:5" x14ac:dyDescent="0.25">
      <c r="A96" s="7" t="s">
        <v>62</v>
      </c>
      <c r="B96" s="10">
        <v>0</v>
      </c>
      <c r="C96" s="10">
        <v>0</v>
      </c>
      <c r="D96" s="10">
        <v>0</v>
      </c>
    </row>
    <row r="97" spans="1:5" x14ac:dyDescent="0.25">
      <c r="A97" s="7" t="s">
        <v>64</v>
      </c>
      <c r="B97" s="10">
        <v>0</v>
      </c>
      <c r="C97" s="10">
        <v>1200</v>
      </c>
      <c r="D97" s="10">
        <v>2400</v>
      </c>
    </row>
    <row r="99" spans="1:5" ht="30" customHeight="1" x14ac:dyDescent="0.25">
      <c r="A99" s="3" t="s">
        <v>84</v>
      </c>
      <c r="B99" s="4" t="s">
        <v>55</v>
      </c>
      <c r="C99" s="4" t="s">
        <v>56</v>
      </c>
      <c r="D99" s="4" t="s">
        <v>57</v>
      </c>
      <c r="E99" s="4" t="s">
        <v>85</v>
      </c>
    </row>
    <row r="100" spans="1:5" x14ac:dyDescent="0.25">
      <c r="A100" s="5" t="s">
        <v>86</v>
      </c>
      <c r="B100" s="6"/>
      <c r="C100" s="6"/>
      <c r="D100" s="6"/>
      <c r="E100" s="6"/>
    </row>
    <row r="101" spans="1:5" x14ac:dyDescent="0.25">
      <c r="A101" s="7" t="s">
        <v>87</v>
      </c>
      <c r="B101" s="19">
        <f>$B$81*$B$94</f>
        <v>6</v>
      </c>
      <c r="C101" s="19">
        <f>$B$81*$C$94</f>
        <v>12</v>
      </c>
      <c r="D101" s="19">
        <f>$B$81*$D$94</f>
        <v>18</v>
      </c>
      <c r="E101" s="9" t="s">
        <v>88</v>
      </c>
    </row>
    <row r="102" spans="1:5" x14ac:dyDescent="0.25">
      <c r="A102" s="7" t="s">
        <v>89</v>
      </c>
      <c r="B102" s="20">
        <f>B101*Weeks*$B$80</f>
        <v>15600</v>
      </c>
      <c r="C102" s="20">
        <f>C101*Weeks*$B$80</f>
        <v>31200</v>
      </c>
      <c r="D102" s="20">
        <f>D101*Weeks*$B$80</f>
        <v>46800</v>
      </c>
      <c r="E102" s="9" t="s">
        <v>90</v>
      </c>
    </row>
    <row r="103" spans="1:5" x14ac:dyDescent="0.25">
      <c r="A103" s="7" t="s">
        <v>91</v>
      </c>
      <c r="B103" s="20">
        <f>12*$B$95*($B$90-$B$91)</f>
        <v>0</v>
      </c>
      <c r="C103" s="20">
        <f>12*$C$95*($B$90-$B$91)</f>
        <v>0</v>
      </c>
      <c r="D103" s="20">
        <f>12*$D$95*($B$90-$B$91)</f>
        <v>0</v>
      </c>
      <c r="E103" s="9" t="s">
        <v>92</v>
      </c>
    </row>
    <row r="104" spans="1:5" x14ac:dyDescent="0.25">
      <c r="A104" s="7" t="s">
        <v>93</v>
      </c>
      <c r="B104" s="20">
        <f>$B$96</f>
        <v>0</v>
      </c>
      <c r="C104" s="20">
        <f>$C$96</f>
        <v>0</v>
      </c>
      <c r="D104" s="20">
        <f>$D$96</f>
        <v>0</v>
      </c>
      <c r="E104" s="9" t="s">
        <v>94</v>
      </c>
    </row>
    <row r="105" spans="1:5" x14ac:dyDescent="0.25">
      <c r="A105" s="7" t="s">
        <v>95</v>
      </c>
      <c r="B105" s="20">
        <f>$B$97</f>
        <v>0</v>
      </c>
      <c r="C105" s="20">
        <f>$C$97</f>
        <v>1200</v>
      </c>
      <c r="D105" s="20">
        <f>$D$97</f>
        <v>2400</v>
      </c>
      <c r="E105" s="9" t="s">
        <v>94</v>
      </c>
    </row>
    <row r="106" spans="1:5" x14ac:dyDescent="0.25">
      <c r="A106" s="17" t="s">
        <v>86</v>
      </c>
      <c r="B106" s="21">
        <f>SUM(B102:B105)</f>
        <v>15600</v>
      </c>
      <c r="C106" s="21">
        <f>SUM(C102:C105)</f>
        <v>32400</v>
      </c>
      <c r="D106" s="21">
        <f>SUM(D102:D105)</f>
        <v>49200</v>
      </c>
      <c r="E106" s="9" t="s">
        <v>96</v>
      </c>
    </row>
    <row r="107" spans="1:5" x14ac:dyDescent="0.25">
      <c r="A107" s="5" t="s">
        <v>97</v>
      </c>
      <c r="B107" s="6"/>
      <c r="C107" s="6"/>
      <c r="D107" s="6"/>
      <c r="E107" s="6"/>
    </row>
    <row r="108" spans="1:5" x14ac:dyDescent="0.25">
      <c r="A108" s="7" t="s">
        <v>98</v>
      </c>
      <c r="B108" s="20">
        <f>IF($B$72="Enterprise and Provider",$B$74,IF($B$73="Annual",INDEX(PlanAnnual,MATCH($B$72,PlanNames,0)),12*INDEX(PlanMonthly,MATCH($B$72,PlanNames,0))))</f>
        <v>9990</v>
      </c>
      <c r="C108" s="20">
        <f>IF($B$72="Enterprise and Provider",$B$74,IF($B$73="Annual",INDEX(PlanAnnual,MATCH($B$72,PlanNames,0)),12*INDEX(PlanMonthly,MATCH($B$72,PlanNames,0))))</f>
        <v>9990</v>
      </c>
      <c r="D108" s="20">
        <f>IF($B$72="Enterprise and Provider",$B$74,IF($B$73="Annual",INDEX(PlanAnnual,MATCH($B$72,PlanNames,0)),12*INDEX(PlanMonthly,MATCH($B$72,PlanNames,0))))</f>
        <v>9990</v>
      </c>
      <c r="E108" s="9" t="s">
        <v>99</v>
      </c>
    </row>
    <row r="109" spans="1:5" x14ac:dyDescent="0.25">
      <c r="A109" s="7" t="s">
        <v>32</v>
      </c>
      <c r="B109" s="20">
        <f>$B$83*12</f>
        <v>3600</v>
      </c>
      <c r="C109" s="20">
        <f>$B$83*12</f>
        <v>3600</v>
      </c>
      <c r="D109" s="20">
        <f>$B$83*12</f>
        <v>3600</v>
      </c>
      <c r="E109" s="9" t="s">
        <v>100</v>
      </c>
    </row>
    <row r="110" spans="1:5" x14ac:dyDescent="0.25">
      <c r="A110" s="7" t="s">
        <v>35</v>
      </c>
      <c r="B110" s="20">
        <f>$B$84*12</f>
        <v>1800</v>
      </c>
      <c r="C110" s="20">
        <f>$B$84*12</f>
        <v>1800</v>
      </c>
      <c r="D110" s="20">
        <f>$B$84*12</f>
        <v>1800</v>
      </c>
      <c r="E110" s="9" t="s">
        <v>100</v>
      </c>
    </row>
    <row r="111" spans="1:5" x14ac:dyDescent="0.25">
      <c r="A111" s="7" t="s">
        <v>37</v>
      </c>
      <c r="B111" s="20">
        <f>$B$85*12*$B$80</f>
        <v>6000</v>
      </c>
      <c r="C111" s="20">
        <f>$B$85*12*$B$80</f>
        <v>6000</v>
      </c>
      <c r="D111" s="20">
        <f>$B$85*12*$B$80</f>
        <v>6000</v>
      </c>
      <c r="E111" s="9" t="s">
        <v>101</v>
      </c>
    </row>
    <row r="112" spans="1:5" x14ac:dyDescent="0.25">
      <c r="A112" s="7" t="s">
        <v>102</v>
      </c>
      <c r="B112" s="20">
        <f>$B$86*$B$80+$B$87</f>
        <v>6000</v>
      </c>
      <c r="C112" s="20">
        <f>$B$86*$B$80+$B$87</f>
        <v>6000</v>
      </c>
      <c r="D112" s="20">
        <f>$B$86*$B$80+$B$87</f>
        <v>6000</v>
      </c>
      <c r="E112" s="9" t="s">
        <v>103</v>
      </c>
    </row>
    <row r="113" spans="1:5" x14ac:dyDescent="0.25">
      <c r="A113" s="7" t="s">
        <v>104</v>
      </c>
      <c r="B113" s="20">
        <f>B112/$B$88</f>
        <v>2000</v>
      </c>
      <c r="C113" s="20">
        <f>C112/$B$88</f>
        <v>2000</v>
      </c>
      <c r="D113" s="20">
        <f>D112/$B$88</f>
        <v>2000</v>
      </c>
      <c r="E113" s="9" t="s">
        <v>105</v>
      </c>
    </row>
    <row r="114" spans="1:5" x14ac:dyDescent="0.25">
      <c r="A114" s="7" t="s">
        <v>106</v>
      </c>
      <c r="B114" s="20">
        <f>B108+B109+B110+B111</f>
        <v>21390</v>
      </c>
      <c r="C114" s="20">
        <f>C108+C109+C110+C111</f>
        <v>21390</v>
      </c>
      <c r="D114" s="20">
        <f>D108+D109+D110+D111</f>
        <v>21390</v>
      </c>
      <c r="E114" s="9" t="s">
        <v>107</v>
      </c>
    </row>
    <row r="115" spans="1:5" x14ac:dyDescent="0.25">
      <c r="A115" s="17" t="s">
        <v>97</v>
      </c>
      <c r="B115" s="21">
        <f>B114+B113</f>
        <v>23390</v>
      </c>
      <c r="C115" s="21">
        <f>C114+C113</f>
        <v>23390</v>
      </c>
      <c r="D115" s="21">
        <f>D114+D113</f>
        <v>23390</v>
      </c>
      <c r="E115" s="9" t="s">
        <v>108</v>
      </c>
    </row>
    <row r="116" spans="1:5" x14ac:dyDescent="0.25">
      <c r="A116" s="5" t="s">
        <v>109</v>
      </c>
      <c r="B116" s="6"/>
      <c r="C116" s="6"/>
      <c r="D116" s="6"/>
      <c r="E116" s="6"/>
    </row>
    <row r="117" spans="1:5" x14ac:dyDescent="0.25">
      <c r="A117" s="17" t="s">
        <v>110</v>
      </c>
      <c r="B117" s="21">
        <f>B106-B115</f>
        <v>-7790</v>
      </c>
      <c r="C117" s="21">
        <f>C106-C115</f>
        <v>9010</v>
      </c>
      <c r="D117" s="21">
        <f>D106-D115</f>
        <v>25810</v>
      </c>
      <c r="E117" s="9" t="s">
        <v>111</v>
      </c>
    </row>
    <row r="118" spans="1:5" x14ac:dyDescent="0.25">
      <c r="A118" s="17" t="s">
        <v>112</v>
      </c>
      <c r="B118" s="22">
        <f>IF(B115=0,"n/a",B117/B115)</f>
        <v>-0.33304831124412143</v>
      </c>
      <c r="C118" s="22">
        <f>IF(C115=0,"n/a",C117/C115)</f>
        <v>0.38520735356990166</v>
      </c>
      <c r="D118" s="22">
        <f>IF(D115=0,"n/a",D117/D115)</f>
        <v>1.1034630183839247</v>
      </c>
      <c r="E118" s="9" t="s">
        <v>113</v>
      </c>
    </row>
    <row r="119" spans="1:5" x14ac:dyDescent="0.25">
      <c r="A119" s="7" t="s">
        <v>114</v>
      </c>
      <c r="B119" s="20">
        <f>(B106-B114)/12</f>
        <v>-482.5</v>
      </c>
      <c r="C119" s="20">
        <f>(C106-C114)/12</f>
        <v>917.5</v>
      </c>
      <c r="D119" s="20">
        <f>(D106-D114)/12</f>
        <v>2317.5</v>
      </c>
      <c r="E119" s="9" t="s">
        <v>115</v>
      </c>
    </row>
    <row r="120" spans="1:5" x14ac:dyDescent="0.25">
      <c r="A120" s="7" t="s">
        <v>116</v>
      </c>
      <c r="B120" s="20">
        <f>B114/12</f>
        <v>1782.5</v>
      </c>
      <c r="C120" s="20">
        <f>C114/12</f>
        <v>1782.5</v>
      </c>
      <c r="D120" s="20">
        <f>D114/12</f>
        <v>1782.5</v>
      </c>
      <c r="E120" s="9" t="s">
        <v>117</v>
      </c>
    </row>
    <row r="121" spans="1:5" x14ac:dyDescent="0.25">
      <c r="A121" s="17" t="s">
        <v>118</v>
      </c>
      <c r="B121" s="23" t="str">
        <f>IF(B119&lt;=0,"No payback",(B112+B120)/B119)</f>
        <v>No payback</v>
      </c>
      <c r="C121" s="23">
        <f>IF(C119&lt;=0,"No payback",(C112+C120)/C119)</f>
        <v>8.4822888283378752</v>
      </c>
      <c r="D121" s="23">
        <f>IF(D119&lt;=0,"No payback",(D112+D120)/D119)</f>
        <v>3.3581445523193096</v>
      </c>
      <c r="E121" s="9" t="s">
        <v>119</v>
      </c>
    </row>
    <row r="122" spans="1:5" x14ac:dyDescent="0.25">
      <c r="A122" s="17" t="s">
        <v>120</v>
      </c>
      <c r="B122" s="23">
        <f>IF($B$80=0,"n/a",B115/(Weeks*$B$80))</f>
        <v>8.9961538461538453</v>
      </c>
      <c r="C122" s="23">
        <f>IF($B$80=0,"n/a",C115/(Weeks*$B$80))</f>
        <v>8.9961538461538453</v>
      </c>
      <c r="D122" s="23">
        <f>IF($B$80=0,"n/a",D115/(Weeks*$B$80))</f>
        <v>8.9961538461538453</v>
      </c>
      <c r="E122" s="9" t="s">
        <v>121</v>
      </c>
    </row>
    <row r="123" spans="1:5" x14ac:dyDescent="0.25">
      <c r="A123" s="7" t="s">
        <v>122</v>
      </c>
      <c r="B123" s="24">
        <f>IF($B$80=0,"n/a",MAX(0,B115-B103-B104-B105)/(Weeks*$B$80))</f>
        <v>8.9961538461538453</v>
      </c>
      <c r="C123" s="24">
        <f>IF($B$80=0,"n/a",MAX(0,C115-C103-C104-C105)/(Weeks*$B$80))</f>
        <v>8.5346153846153854</v>
      </c>
      <c r="D123" s="24">
        <f>IF($B$80=0,"n/a",MAX(0,D115-D103-D104-D105)/(Weeks*$B$80))</f>
        <v>8.0730769230769237</v>
      </c>
      <c r="E123" s="9" t="s">
        <v>123</v>
      </c>
    </row>
    <row r="124" spans="1:5" x14ac:dyDescent="0.25">
      <c r="A124" s="7" t="s">
        <v>124</v>
      </c>
      <c r="B124" s="25">
        <f>IF(OR($B$80=0,$B$81=0),"n/a",B122/$B$81)</f>
        <v>0.14993589743589741</v>
      </c>
      <c r="C124" s="25">
        <f>IF(OR($B$80=0,$B$81=0),"n/a",C122/$B$81)</f>
        <v>0.14993589743589741</v>
      </c>
      <c r="D124" s="25">
        <f>IF(OR($B$80=0,$B$81=0),"n/a",D122/$B$81)</f>
        <v>0.14993589743589741</v>
      </c>
      <c r="E124" s="9" t="s">
        <v>125</v>
      </c>
    </row>
    <row r="125" spans="1:5" x14ac:dyDescent="0.25">
      <c r="A125" s="5" t="s">
        <v>126</v>
      </c>
      <c r="B125" s="6"/>
      <c r="C125" s="6"/>
      <c r="D125" s="6"/>
      <c r="E125" s="6"/>
    </row>
    <row r="126" spans="1:5" x14ac:dyDescent="0.25">
      <c r="A126" s="7" t="s">
        <v>71</v>
      </c>
      <c r="B126" s="26" t="str">
        <f>IF($B$72="Enterprise and Provider","Custom limits",IF($B$75&lt;=INDEX(PlanVentures,MATCH($B$72,PlanNames,0)),"Within plan","Exceeds plan"))</f>
        <v>Within plan</v>
      </c>
      <c r="E126" s="9" t="s">
        <v>127</v>
      </c>
    </row>
    <row r="127" spans="1:5" x14ac:dyDescent="0.25">
      <c r="A127" s="7" t="s">
        <v>72</v>
      </c>
      <c r="B127" s="26" t="str">
        <f>IF($B$72="Enterprise and Provider","Custom limits",IF($B$76&lt;=INDEX(PlanProjects,MATCH($B$72,PlanNames,0)),"Within plan","Exceeds plan"))</f>
        <v>Within plan</v>
      </c>
      <c r="E127" s="9" t="s">
        <v>127</v>
      </c>
    </row>
    <row r="128" spans="1:5" x14ac:dyDescent="0.25">
      <c r="A128" s="7" t="s">
        <v>73</v>
      </c>
      <c r="B128" s="26" t="str">
        <f>IF($B$72="Enterprise and Provider","Custom limits",IF($B$77&lt;=INDEX(PlanUsers,MATCH($B$72,PlanNames,0)),"Within plan","Exceeds plan"))</f>
        <v>Within plan</v>
      </c>
      <c r="E128" s="9" t="s">
        <v>127</v>
      </c>
    </row>
    <row r="129" spans="1:5" x14ac:dyDescent="0.25">
      <c r="A129" s="7" t="s">
        <v>74</v>
      </c>
      <c r="B129" s="26" t="str">
        <f>IF($B$72="Enterprise and Provider","Custom limits",IF($B$78&lt;=INDEX(PlanWorkspaces,MATCH($B$72,PlanNames,0)),"Within plan","Exceeds plan"))</f>
        <v>Within plan</v>
      </c>
      <c r="E129" s="9" t="s">
        <v>127</v>
      </c>
    </row>
    <row r="130" spans="1:5" x14ac:dyDescent="0.25">
      <c r="A130" s="27" t="str">
        <f>IF(AND($B$72="Enterprise and Provider",$B$74=0),"Enter your quoted annual price in Inputs.",IF(COUNTIF(B126:B129,"Exceeds plan")&gt;0,"Choose a larger plan or reduce the capacity you need.",""))</f>
        <v/>
      </c>
    </row>
    <row r="134" spans="1:5" ht="21.95" customHeight="1" x14ac:dyDescent="0.25">
      <c r="A134" s="31" t="s">
        <v>145</v>
      </c>
      <c r="B134" s="32"/>
      <c r="C134" s="32"/>
      <c r="D134" s="32"/>
      <c r="E134" s="32"/>
    </row>
    <row r="135" spans="1:5" x14ac:dyDescent="0.25">
      <c r="A135" s="27" t="s">
        <v>143</v>
      </c>
    </row>
    <row r="136" spans="1:5" x14ac:dyDescent="0.25">
      <c r="A136" s="5" t="s">
        <v>6</v>
      </c>
      <c r="B136" s="6"/>
      <c r="C136" s="6"/>
      <c r="D136" s="6"/>
      <c r="E136" s="6"/>
    </row>
    <row r="137" spans="1:5" x14ac:dyDescent="0.25">
      <c r="A137" s="7" t="s">
        <v>7</v>
      </c>
      <c r="B137" s="8" t="s">
        <v>77</v>
      </c>
      <c r="C137" s="9" t="s">
        <v>9</v>
      </c>
    </row>
    <row r="138" spans="1:5" x14ac:dyDescent="0.25">
      <c r="A138" s="7" t="s">
        <v>11</v>
      </c>
      <c r="B138" s="8" t="s">
        <v>12</v>
      </c>
      <c r="C138" s="9" t="s">
        <v>13</v>
      </c>
    </row>
    <row r="139" spans="1:5" x14ac:dyDescent="0.25">
      <c r="A139" s="7" t="s">
        <v>15</v>
      </c>
      <c r="B139" s="10">
        <v>0</v>
      </c>
      <c r="C139" s="9" t="s">
        <v>16</v>
      </c>
    </row>
    <row r="140" spans="1:5" x14ac:dyDescent="0.25">
      <c r="A140" s="7" t="s">
        <v>18</v>
      </c>
      <c r="B140" s="11">
        <v>2</v>
      </c>
      <c r="C140" s="9" t="s">
        <v>19</v>
      </c>
    </row>
    <row r="141" spans="1:5" x14ac:dyDescent="0.25">
      <c r="A141" s="7" t="s">
        <v>20</v>
      </c>
      <c r="B141" s="11">
        <v>15</v>
      </c>
      <c r="C141" s="9" t="s">
        <v>19</v>
      </c>
    </row>
    <row r="142" spans="1:5" x14ac:dyDescent="0.25">
      <c r="A142" s="7" t="s">
        <v>21</v>
      </c>
      <c r="B142" s="11">
        <v>8</v>
      </c>
      <c r="C142" s="9" t="s">
        <v>19</v>
      </c>
    </row>
    <row r="143" spans="1:5" x14ac:dyDescent="0.25">
      <c r="A143" s="7" t="s">
        <v>22</v>
      </c>
      <c r="B143" s="11">
        <v>5</v>
      </c>
      <c r="C143" s="9" t="s">
        <v>19</v>
      </c>
    </row>
    <row r="144" spans="1:5" x14ac:dyDescent="0.25">
      <c r="A144" s="5" t="s">
        <v>24</v>
      </c>
      <c r="B144" s="6"/>
      <c r="C144" s="6"/>
      <c r="D144" s="6"/>
      <c r="E144" s="6"/>
    </row>
    <row r="145" spans="1:5" x14ac:dyDescent="0.25">
      <c r="A145" s="7" t="s">
        <v>25</v>
      </c>
      <c r="B145" s="12">
        <v>60</v>
      </c>
      <c r="C145" s="9" t="s">
        <v>26</v>
      </c>
    </row>
    <row r="146" spans="1:5" x14ac:dyDescent="0.25">
      <c r="A146" s="7" t="s">
        <v>28</v>
      </c>
      <c r="B146" s="13">
        <v>25</v>
      </c>
      <c r="C146" s="9" t="s">
        <v>29</v>
      </c>
    </row>
    <row r="147" spans="1:5" x14ac:dyDescent="0.25">
      <c r="A147" s="5" t="s">
        <v>31</v>
      </c>
      <c r="B147" s="6"/>
      <c r="C147" s="6"/>
      <c r="D147" s="6"/>
      <c r="E147" s="6"/>
    </row>
    <row r="148" spans="1:5" x14ac:dyDescent="0.25">
      <c r="A148" s="7" t="s">
        <v>32</v>
      </c>
      <c r="B148" s="10">
        <v>200</v>
      </c>
      <c r="C148" s="9" t="s">
        <v>33</v>
      </c>
    </row>
    <row r="149" spans="1:5" x14ac:dyDescent="0.25">
      <c r="A149" s="7" t="s">
        <v>35</v>
      </c>
      <c r="B149" s="10">
        <v>100</v>
      </c>
      <c r="C149" s="9" t="s">
        <v>33</v>
      </c>
    </row>
    <row r="150" spans="1:5" x14ac:dyDescent="0.25">
      <c r="A150" s="7" t="s">
        <v>37</v>
      </c>
      <c r="B150" s="13">
        <v>10</v>
      </c>
      <c r="C150" s="9" t="s">
        <v>38</v>
      </c>
    </row>
    <row r="151" spans="1:5" x14ac:dyDescent="0.25">
      <c r="A151" s="7" t="s">
        <v>40</v>
      </c>
      <c r="B151" s="13">
        <v>60</v>
      </c>
      <c r="C151" s="9" t="s">
        <v>41</v>
      </c>
    </row>
    <row r="152" spans="1:5" x14ac:dyDescent="0.25">
      <c r="A152" s="7" t="s">
        <v>43</v>
      </c>
      <c r="B152" s="10">
        <v>2400</v>
      </c>
      <c r="C152" s="9" t="s">
        <v>44</v>
      </c>
    </row>
    <row r="153" spans="1:5" x14ac:dyDescent="0.25">
      <c r="A153" s="7" t="s">
        <v>46</v>
      </c>
      <c r="B153" s="14">
        <v>3</v>
      </c>
      <c r="C153" s="9" t="s">
        <v>47</v>
      </c>
    </row>
    <row r="154" spans="1:5" x14ac:dyDescent="0.25">
      <c r="A154" s="5" t="s">
        <v>49</v>
      </c>
      <c r="B154" s="6"/>
      <c r="C154" s="6"/>
      <c r="D154" s="6"/>
      <c r="E154" s="6"/>
    </row>
    <row r="155" spans="1:5" x14ac:dyDescent="0.25">
      <c r="A155" s="7" t="s">
        <v>50</v>
      </c>
      <c r="B155" s="10">
        <v>450</v>
      </c>
      <c r="C155" s="9" t="s">
        <v>33</v>
      </c>
    </row>
    <row r="156" spans="1:5" x14ac:dyDescent="0.25">
      <c r="A156" s="7" t="s">
        <v>52</v>
      </c>
      <c r="B156" s="10">
        <v>200</v>
      </c>
      <c r="C156" s="9" t="s">
        <v>33</v>
      </c>
    </row>
    <row r="157" spans="1:5" x14ac:dyDescent="0.25">
      <c r="A157" s="5" t="s">
        <v>54</v>
      </c>
      <c r="B157" s="6"/>
      <c r="C157" s="6"/>
      <c r="D157" s="6"/>
      <c r="E157" s="6"/>
    </row>
    <row r="158" spans="1:5" ht="30" customHeight="1" x14ac:dyDescent="0.25">
      <c r="A158" s="3" t="s">
        <v>2</v>
      </c>
      <c r="B158" s="4" t="s">
        <v>55</v>
      </c>
      <c r="C158" s="4" t="s">
        <v>56</v>
      </c>
      <c r="D158" s="4" t="s">
        <v>57</v>
      </c>
      <c r="E158" s="4" t="s">
        <v>5</v>
      </c>
    </row>
    <row r="159" spans="1:5" x14ac:dyDescent="0.25">
      <c r="A159" s="7" t="s">
        <v>58</v>
      </c>
      <c r="B159" s="15">
        <v>0.1</v>
      </c>
      <c r="C159" s="15">
        <v>0.2</v>
      </c>
      <c r="D159" s="15">
        <v>0.3</v>
      </c>
    </row>
    <row r="160" spans="1:5" x14ac:dyDescent="0.25">
      <c r="A160" s="7" t="s">
        <v>60</v>
      </c>
      <c r="B160" s="11">
        <v>1</v>
      </c>
      <c r="C160" s="11">
        <v>2</v>
      </c>
      <c r="D160" s="11">
        <v>3</v>
      </c>
    </row>
    <row r="161" spans="1:5" x14ac:dyDescent="0.25">
      <c r="A161" s="7" t="s">
        <v>62</v>
      </c>
      <c r="B161" s="10">
        <v>0</v>
      </c>
      <c r="C161" s="10">
        <v>0</v>
      </c>
      <c r="D161" s="10">
        <v>0</v>
      </c>
    </row>
    <row r="162" spans="1:5" x14ac:dyDescent="0.25">
      <c r="A162" s="7" t="s">
        <v>64</v>
      </c>
      <c r="B162" s="10">
        <v>0</v>
      </c>
      <c r="C162" s="10">
        <v>0</v>
      </c>
      <c r="D162" s="10">
        <v>0</v>
      </c>
    </row>
    <row r="164" spans="1:5" ht="30" customHeight="1" x14ac:dyDescent="0.25">
      <c r="A164" s="3" t="s">
        <v>84</v>
      </c>
      <c r="B164" s="4" t="s">
        <v>55</v>
      </c>
      <c r="C164" s="4" t="s">
        <v>56</v>
      </c>
      <c r="D164" s="4" t="s">
        <v>57</v>
      </c>
      <c r="E164" s="4" t="s">
        <v>85</v>
      </c>
    </row>
    <row r="165" spans="1:5" x14ac:dyDescent="0.25">
      <c r="A165" s="5" t="s">
        <v>86</v>
      </c>
      <c r="B165" s="6"/>
      <c r="C165" s="6"/>
      <c r="D165" s="6"/>
      <c r="E165" s="6"/>
    </row>
    <row r="166" spans="1:5" x14ac:dyDescent="0.25">
      <c r="A166" s="7" t="s">
        <v>87</v>
      </c>
      <c r="B166" s="19">
        <f>$B$146*$B$159</f>
        <v>2.5</v>
      </c>
      <c r="C166" s="19">
        <f>$B$146*$C$159</f>
        <v>5</v>
      </c>
      <c r="D166" s="19">
        <f>$B$146*$D$159</f>
        <v>7.5</v>
      </c>
      <c r="E166" s="9" t="s">
        <v>88</v>
      </c>
    </row>
    <row r="167" spans="1:5" x14ac:dyDescent="0.25">
      <c r="A167" s="7" t="s">
        <v>89</v>
      </c>
      <c r="B167" s="20">
        <f>B166*Weeks*$B$145</f>
        <v>7800</v>
      </c>
      <c r="C167" s="20">
        <f>C166*Weeks*$B$145</f>
        <v>15600</v>
      </c>
      <c r="D167" s="20">
        <f>D166*Weeks*$B$145</f>
        <v>23400</v>
      </c>
      <c r="E167" s="9" t="s">
        <v>90</v>
      </c>
    </row>
    <row r="168" spans="1:5" x14ac:dyDescent="0.25">
      <c r="A168" s="7" t="s">
        <v>91</v>
      </c>
      <c r="B168" s="20">
        <f>12*$B$160*($B$155-$B$156)</f>
        <v>3000</v>
      </c>
      <c r="C168" s="20">
        <f>12*$C$160*($B$155-$B$156)</f>
        <v>6000</v>
      </c>
      <c r="D168" s="20">
        <f>12*$D$160*($B$155-$B$156)</f>
        <v>9000</v>
      </c>
      <c r="E168" s="9" t="s">
        <v>92</v>
      </c>
    </row>
    <row r="169" spans="1:5" x14ac:dyDescent="0.25">
      <c r="A169" s="7" t="s">
        <v>93</v>
      </c>
      <c r="B169" s="20">
        <f>$B$161</f>
        <v>0</v>
      </c>
      <c r="C169" s="20">
        <f>$C$161</f>
        <v>0</v>
      </c>
      <c r="D169" s="20">
        <f>$D$161</f>
        <v>0</v>
      </c>
      <c r="E169" s="9" t="s">
        <v>94</v>
      </c>
    </row>
    <row r="170" spans="1:5" x14ac:dyDescent="0.25">
      <c r="A170" s="7" t="s">
        <v>95</v>
      </c>
      <c r="B170" s="20">
        <f>$B$162</f>
        <v>0</v>
      </c>
      <c r="C170" s="20">
        <f>$C$162</f>
        <v>0</v>
      </c>
      <c r="D170" s="20">
        <f>$D$162</f>
        <v>0</v>
      </c>
      <c r="E170" s="9" t="s">
        <v>94</v>
      </c>
    </row>
    <row r="171" spans="1:5" x14ac:dyDescent="0.25">
      <c r="A171" s="17" t="s">
        <v>86</v>
      </c>
      <c r="B171" s="21">
        <f>SUM(B167:B170)</f>
        <v>10800</v>
      </c>
      <c r="C171" s="21">
        <f>SUM(C167:C170)</f>
        <v>21600</v>
      </c>
      <c r="D171" s="21">
        <f>SUM(D167:D170)</f>
        <v>32400</v>
      </c>
      <c r="E171" s="9" t="s">
        <v>96</v>
      </c>
    </row>
    <row r="172" spans="1:5" x14ac:dyDescent="0.25">
      <c r="A172" s="5" t="s">
        <v>97</v>
      </c>
      <c r="B172" s="6"/>
      <c r="C172" s="6"/>
      <c r="D172" s="6"/>
      <c r="E172" s="6"/>
    </row>
    <row r="173" spans="1:5" x14ac:dyDescent="0.25">
      <c r="A173" s="7" t="s">
        <v>98</v>
      </c>
      <c r="B173" s="20">
        <f>IF($B$137="Enterprise and Provider",$B$139,IF($B$138="Annual",INDEX(PlanAnnual,MATCH($B$137,PlanNames,0)),12*INDEX(PlanMonthly,MATCH($B$137,PlanNames,0))))</f>
        <v>5990</v>
      </c>
      <c r="C173" s="20">
        <f>IF($B$137="Enterprise and Provider",$B$139,IF($B$138="Annual",INDEX(PlanAnnual,MATCH($B$137,PlanNames,0)),12*INDEX(PlanMonthly,MATCH($B$137,PlanNames,0))))</f>
        <v>5990</v>
      </c>
      <c r="D173" s="20">
        <f>IF($B$137="Enterprise and Provider",$B$139,IF($B$138="Annual",INDEX(PlanAnnual,MATCH($B$137,PlanNames,0)),12*INDEX(PlanMonthly,MATCH($B$137,PlanNames,0))))</f>
        <v>5990</v>
      </c>
      <c r="E173" s="9" t="s">
        <v>99</v>
      </c>
    </row>
    <row r="174" spans="1:5" x14ac:dyDescent="0.25">
      <c r="A174" s="7" t="s">
        <v>32</v>
      </c>
      <c r="B174" s="20">
        <f>$B$148*12</f>
        <v>2400</v>
      </c>
      <c r="C174" s="20">
        <f>$B$148*12</f>
        <v>2400</v>
      </c>
      <c r="D174" s="20">
        <f>$B$148*12</f>
        <v>2400</v>
      </c>
      <c r="E174" s="9" t="s">
        <v>100</v>
      </c>
    </row>
    <row r="175" spans="1:5" x14ac:dyDescent="0.25">
      <c r="A175" s="7" t="s">
        <v>35</v>
      </c>
      <c r="B175" s="20">
        <f>$B$149*12</f>
        <v>1200</v>
      </c>
      <c r="C175" s="20">
        <f>$B$149*12</f>
        <v>1200</v>
      </c>
      <c r="D175" s="20">
        <f>$B$149*12</f>
        <v>1200</v>
      </c>
      <c r="E175" s="9" t="s">
        <v>100</v>
      </c>
    </row>
    <row r="176" spans="1:5" x14ac:dyDescent="0.25">
      <c r="A176" s="7" t="s">
        <v>37</v>
      </c>
      <c r="B176" s="20">
        <f>$B$150*12*$B$145</f>
        <v>7200</v>
      </c>
      <c r="C176" s="20">
        <f>$B$150*12*$B$145</f>
        <v>7200</v>
      </c>
      <c r="D176" s="20">
        <f>$B$150*12*$B$145</f>
        <v>7200</v>
      </c>
      <c r="E176" s="9" t="s">
        <v>101</v>
      </c>
    </row>
    <row r="177" spans="1:5" x14ac:dyDescent="0.25">
      <c r="A177" s="7" t="s">
        <v>102</v>
      </c>
      <c r="B177" s="20">
        <f>$B$151*$B$145+$B$152</f>
        <v>6000</v>
      </c>
      <c r="C177" s="20">
        <f>$B$151*$B$145+$B$152</f>
        <v>6000</v>
      </c>
      <c r="D177" s="20">
        <f>$B$151*$B$145+$B$152</f>
        <v>6000</v>
      </c>
      <c r="E177" s="9" t="s">
        <v>103</v>
      </c>
    </row>
    <row r="178" spans="1:5" x14ac:dyDescent="0.25">
      <c r="A178" s="7" t="s">
        <v>104</v>
      </c>
      <c r="B178" s="20">
        <f>B177/$B$153</f>
        <v>2000</v>
      </c>
      <c r="C178" s="20">
        <f>C177/$B$153</f>
        <v>2000</v>
      </c>
      <c r="D178" s="20">
        <f>D177/$B$153</f>
        <v>2000</v>
      </c>
      <c r="E178" s="9" t="s">
        <v>105</v>
      </c>
    </row>
    <row r="179" spans="1:5" x14ac:dyDescent="0.25">
      <c r="A179" s="7" t="s">
        <v>106</v>
      </c>
      <c r="B179" s="20">
        <f>B173+B174+B175+B176</f>
        <v>16790</v>
      </c>
      <c r="C179" s="20">
        <f>C173+C174+C175+C176</f>
        <v>16790</v>
      </c>
      <c r="D179" s="20">
        <f>D173+D174+D175+D176</f>
        <v>16790</v>
      </c>
      <c r="E179" s="9" t="s">
        <v>107</v>
      </c>
    </row>
    <row r="180" spans="1:5" x14ac:dyDescent="0.25">
      <c r="A180" s="17" t="s">
        <v>97</v>
      </c>
      <c r="B180" s="21">
        <f>B179+B178</f>
        <v>18790</v>
      </c>
      <c r="C180" s="21">
        <f>C179+C178</f>
        <v>18790</v>
      </c>
      <c r="D180" s="21">
        <f>D179+D178</f>
        <v>18790</v>
      </c>
      <c r="E180" s="9" t="s">
        <v>108</v>
      </c>
    </row>
    <row r="181" spans="1:5" x14ac:dyDescent="0.25">
      <c r="A181" s="5" t="s">
        <v>109</v>
      </c>
      <c r="B181" s="6"/>
      <c r="C181" s="6"/>
      <c r="D181" s="6"/>
      <c r="E181" s="6"/>
    </row>
    <row r="182" spans="1:5" x14ac:dyDescent="0.25">
      <c r="A182" s="17" t="s">
        <v>110</v>
      </c>
      <c r="B182" s="21">
        <f>B171-B180</f>
        <v>-7990</v>
      </c>
      <c r="C182" s="21">
        <f>C171-C180</f>
        <v>2810</v>
      </c>
      <c r="D182" s="21">
        <f>D171-D180</f>
        <v>13610</v>
      </c>
      <c r="E182" s="9" t="s">
        <v>111</v>
      </c>
    </row>
    <row r="183" spans="1:5" x14ac:dyDescent="0.25">
      <c r="A183" s="17" t="s">
        <v>112</v>
      </c>
      <c r="B183" s="22">
        <f>IF(B180=0,"n/a",B182/B180)</f>
        <v>-0.42522618414050029</v>
      </c>
      <c r="C183" s="22">
        <f>IF(C180=0,"n/a",C182/C180)</f>
        <v>0.14954763171899946</v>
      </c>
      <c r="D183" s="22">
        <f>IF(D180=0,"n/a",D182/D180)</f>
        <v>0.72432144757849926</v>
      </c>
      <c r="E183" s="9" t="s">
        <v>113</v>
      </c>
    </row>
    <row r="184" spans="1:5" x14ac:dyDescent="0.25">
      <c r="A184" s="7" t="s">
        <v>114</v>
      </c>
      <c r="B184" s="20">
        <f>(B171-B179)/12</f>
        <v>-499.16666666666669</v>
      </c>
      <c r="C184" s="20">
        <f>(C171-C179)/12</f>
        <v>400.83333333333331</v>
      </c>
      <c r="D184" s="20">
        <f>(D171-D179)/12</f>
        <v>1300.8333333333333</v>
      </c>
      <c r="E184" s="9" t="s">
        <v>115</v>
      </c>
    </row>
    <row r="185" spans="1:5" x14ac:dyDescent="0.25">
      <c r="A185" s="7" t="s">
        <v>116</v>
      </c>
      <c r="B185" s="20">
        <f>B179/12</f>
        <v>1399.1666666666667</v>
      </c>
      <c r="C185" s="20">
        <f>C179/12</f>
        <v>1399.1666666666667</v>
      </c>
      <c r="D185" s="20">
        <f>D179/12</f>
        <v>1399.1666666666667</v>
      </c>
      <c r="E185" s="9" t="s">
        <v>117</v>
      </c>
    </row>
    <row r="186" spans="1:5" x14ac:dyDescent="0.25">
      <c r="A186" s="17" t="s">
        <v>118</v>
      </c>
      <c r="B186" s="23" t="str">
        <f>IF(B184&lt;=0,"No payback",(B177+B185)/B184)</f>
        <v>No payback</v>
      </c>
      <c r="C186" s="23">
        <f>IF(C184&lt;=0,"No payback",(C177+C185)/C184)</f>
        <v>18.45945945945946</v>
      </c>
      <c r="D186" s="23">
        <f>IF(D184&lt;=0,"No payback",(D177+D185)/D184)</f>
        <v>5.688020499679693</v>
      </c>
      <c r="E186" s="9" t="s">
        <v>119</v>
      </c>
    </row>
    <row r="187" spans="1:5" x14ac:dyDescent="0.25">
      <c r="A187" s="17" t="s">
        <v>120</v>
      </c>
      <c r="B187" s="23">
        <f>IF($B$145=0,"n/a",B180/(Weeks*$B$145))</f>
        <v>6.0224358974358978</v>
      </c>
      <c r="C187" s="23">
        <f>IF($B$145=0,"n/a",C180/(Weeks*$B$145))</f>
        <v>6.0224358974358978</v>
      </c>
      <c r="D187" s="23">
        <f>IF($B$145=0,"n/a",D180/(Weeks*$B$145))</f>
        <v>6.0224358974358978</v>
      </c>
      <c r="E187" s="9" t="s">
        <v>121</v>
      </c>
    </row>
    <row r="188" spans="1:5" x14ac:dyDescent="0.25">
      <c r="A188" s="7" t="s">
        <v>122</v>
      </c>
      <c r="B188" s="24">
        <f>IF($B$145=0,"n/a",MAX(0,B180-B168-B169-B170)/(Weeks*$B$145))</f>
        <v>5.0608974358974361</v>
      </c>
      <c r="C188" s="24">
        <f>IF($B$145=0,"n/a",MAX(0,C180-C168-C169-C170)/(Weeks*$B$145))</f>
        <v>4.0993589743589745</v>
      </c>
      <c r="D188" s="24">
        <f>IF($B$145=0,"n/a",MAX(0,D180-D168-D169-D170)/(Weeks*$B$145))</f>
        <v>3.1378205128205128</v>
      </c>
      <c r="E188" s="9" t="s">
        <v>123</v>
      </c>
    </row>
    <row r="189" spans="1:5" x14ac:dyDescent="0.25">
      <c r="A189" s="7" t="s">
        <v>124</v>
      </c>
      <c r="B189" s="25">
        <f>IF(OR($B$145=0,$B$146=0),"n/a",B187/$B$146)</f>
        <v>0.24089743589743592</v>
      </c>
      <c r="C189" s="25">
        <f>IF(OR($B$145=0,$B$146=0),"n/a",C187/$B$146)</f>
        <v>0.24089743589743592</v>
      </c>
      <c r="D189" s="25">
        <f>IF(OR($B$145=0,$B$146=0),"n/a",D187/$B$146)</f>
        <v>0.24089743589743592</v>
      </c>
      <c r="E189" s="9" t="s">
        <v>125</v>
      </c>
    </row>
    <row r="190" spans="1:5" x14ac:dyDescent="0.25">
      <c r="A190" s="5" t="s">
        <v>126</v>
      </c>
      <c r="B190" s="6"/>
      <c r="C190" s="6"/>
      <c r="D190" s="6"/>
      <c r="E190" s="6"/>
    </row>
    <row r="191" spans="1:5" x14ac:dyDescent="0.25">
      <c r="A191" s="7" t="s">
        <v>71</v>
      </c>
      <c r="B191" s="26" t="str">
        <f>IF($B$137="Enterprise and Provider","Custom limits",IF($B$140&lt;=INDEX(PlanVentures,MATCH($B$137,PlanNames,0)),"Within plan","Exceeds plan"))</f>
        <v>Within plan</v>
      </c>
      <c r="E191" s="9" t="s">
        <v>127</v>
      </c>
    </row>
    <row r="192" spans="1:5" x14ac:dyDescent="0.25">
      <c r="A192" s="7" t="s">
        <v>72</v>
      </c>
      <c r="B192" s="26" t="str">
        <f>IF($B$137="Enterprise and Provider","Custom limits",IF($B$141&lt;=INDEX(PlanProjects,MATCH($B$137,PlanNames,0)),"Within plan","Exceeds plan"))</f>
        <v>Within plan</v>
      </c>
      <c r="E192" s="9" t="s">
        <v>127</v>
      </c>
    </row>
    <row r="193" spans="1:5" x14ac:dyDescent="0.25">
      <c r="A193" s="7" t="s">
        <v>73</v>
      </c>
      <c r="B193" s="26" t="str">
        <f>IF($B$137="Enterprise and Provider","Custom limits",IF($B$142&lt;=INDEX(PlanUsers,MATCH($B$137,PlanNames,0)),"Within plan","Exceeds plan"))</f>
        <v>Within plan</v>
      </c>
      <c r="E193" s="9" t="s">
        <v>127</v>
      </c>
    </row>
    <row r="194" spans="1:5" x14ac:dyDescent="0.25">
      <c r="A194" s="7" t="s">
        <v>74</v>
      </c>
      <c r="B194" s="26" t="str">
        <f>IF($B$137="Enterprise and Provider","Custom limits",IF($B$143&lt;=INDEX(PlanWorkspaces,MATCH($B$137,PlanNames,0)),"Within plan","Exceeds plan"))</f>
        <v>Within plan</v>
      </c>
      <c r="E194" s="9" t="s">
        <v>127</v>
      </c>
    </row>
    <row r="195" spans="1:5" x14ac:dyDescent="0.25">
      <c r="A195" s="27" t="str">
        <f>IF(AND($B$137="Enterprise and Provider",$B$139=0),"Enter your quoted annual price in Inputs.",IF(COUNTIF(B191:B194,"Exceeds plan")&gt;0,"Choose a larger plan or reduce the capacity you need.",""))</f>
        <v/>
      </c>
    </row>
  </sheetData>
  <dataValidations count="4">
    <dataValidation type="list" sqref="B7 B137 B72" xr:uid="{00000000-0002-0000-0300-000000000000}">
      <formula1>PlanNames</formula1>
    </dataValidation>
    <dataValidation type="list" sqref="B8 B138 B73" xr:uid="{00000000-0002-0000-0300-000001000000}">
      <formula1>"Annual,Monthly"</formula1>
    </dataValidation>
    <dataValidation type="decimal" showErrorMessage="1" errorTitle="Share" error="Enter a share between 0% and 100%." sqref="B29:D29 B159:D159 B94:D94" xr:uid="{00000000-0002-0000-0300-000002000000}">
      <formula1>0</formula1>
      <formula2>1</formula2>
    </dataValidation>
    <dataValidation type="decimal" operator="greaterThanOrEqual" showErrorMessage="1" errorTitle="Value" error="Enter a number that is zero or more." sqref="B9:B13 B15:B16 B18:B23 B25:B26 B30:D32 B139:B143 B145:B146 B148:B153 B155:B156 B160:D162 B74:B78 B80:B81 B83:B88 B90:B91 B95:D97" xr:uid="{00000000-0002-0000-0300-000003000000}">
      <formula1>0</formula1>
    </dataValidation>
  </dataValidations>
  <printOptions horizontalCentered="1"/>
  <pageMargins left="0.5" right="0.5" top="0.6" bottom="0.7" header="0.5" footer="0.5"/>
  <pageSetup fitToHeight="0" orientation="portrait"/>
  <headerFooter>
    <oddFooter>&amp;C&amp;8 ErezAgent ROI Calculator v4.94.3  |  &amp;A  | 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6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0" customWidth="1"/>
    <col min="2" max="5" width="16" customWidth="1"/>
    <col min="6" max="6" width="20" customWidth="1"/>
  </cols>
  <sheetData>
    <row r="1" spans="1:5" ht="24" customHeight="1" x14ac:dyDescent="0.35">
      <c r="A1" s="1" t="s">
        <v>146</v>
      </c>
    </row>
    <row r="2" spans="1:5" x14ac:dyDescent="0.25">
      <c r="A2" s="2" t="s">
        <v>147</v>
      </c>
    </row>
    <row r="4" spans="1:5" x14ac:dyDescent="0.25">
      <c r="A4" s="5" t="s">
        <v>148</v>
      </c>
      <c r="B4" s="6"/>
      <c r="C4" s="6"/>
      <c r="D4" s="6"/>
      <c r="E4" s="6"/>
    </row>
    <row r="5" spans="1:5" x14ac:dyDescent="0.25">
      <c r="A5" s="9" t="s">
        <v>149</v>
      </c>
    </row>
    <row r="7" spans="1:5" x14ac:dyDescent="0.25">
      <c r="A7" s="7" t="s">
        <v>150</v>
      </c>
      <c r="B7" s="33">
        <f>Scenarios!$B$81</f>
        <v>60</v>
      </c>
    </row>
    <row r="8" spans="1:5" x14ac:dyDescent="0.25">
      <c r="A8" s="7" t="s">
        <v>151</v>
      </c>
      <c r="B8" s="20">
        <f>Scenarios!C108</f>
        <v>9990</v>
      </c>
    </row>
    <row r="9" spans="1:5" x14ac:dyDescent="0.25">
      <c r="A9" s="7" t="s">
        <v>152</v>
      </c>
      <c r="B9" s="20">
        <f>Scenarios!C109</f>
        <v>3600</v>
      </c>
    </row>
    <row r="10" spans="1:5" x14ac:dyDescent="0.25">
      <c r="A10" s="7" t="s">
        <v>153</v>
      </c>
      <c r="B10" s="20">
        <f>Scenarios!C110</f>
        <v>1800</v>
      </c>
    </row>
    <row r="11" spans="1:5" x14ac:dyDescent="0.25">
      <c r="A11" s="7" t="s">
        <v>154</v>
      </c>
      <c r="B11" s="33">
        <f>Scenarios!$B$85</f>
        <v>10</v>
      </c>
    </row>
    <row r="12" spans="1:5" x14ac:dyDescent="0.25">
      <c r="A12" s="7" t="s">
        <v>155</v>
      </c>
      <c r="B12" s="33">
        <f>Scenarios!$B$86</f>
        <v>80</v>
      </c>
    </row>
    <row r="13" spans="1:5" x14ac:dyDescent="0.25">
      <c r="A13" s="7" t="s">
        <v>43</v>
      </c>
      <c r="B13" s="20">
        <f>Scenarios!$B$87</f>
        <v>2000</v>
      </c>
    </row>
    <row r="14" spans="1:5" x14ac:dyDescent="0.25">
      <c r="A14" s="7" t="s">
        <v>156</v>
      </c>
      <c r="B14" s="34">
        <f>Scenarios!$B$88</f>
        <v>3</v>
      </c>
    </row>
    <row r="15" spans="1:5" x14ac:dyDescent="0.25">
      <c r="A15" s="7" t="s">
        <v>157</v>
      </c>
      <c r="B15" s="20">
        <f>Scenarios!C103+Scenarios!C104+Scenarios!C105</f>
        <v>1200</v>
      </c>
    </row>
    <row r="17" spans="1:5" x14ac:dyDescent="0.25">
      <c r="A17" s="28" t="s">
        <v>158</v>
      </c>
    </row>
    <row r="18" spans="1:5" ht="30" customHeight="1" x14ac:dyDescent="0.25">
      <c r="A18" s="3" t="s">
        <v>159</v>
      </c>
      <c r="B18" s="35">
        <v>25</v>
      </c>
      <c r="C18" s="35">
        <v>50</v>
      </c>
      <c r="D18" s="35">
        <v>75</v>
      </c>
      <c r="E18" s="35">
        <v>100</v>
      </c>
    </row>
    <row r="19" spans="1:5" x14ac:dyDescent="0.25">
      <c r="A19" s="36">
        <v>0.05</v>
      </c>
      <c r="B19" s="20">
        <f t="shared" ref="B19:E23" si="0">$B$7*$A19*Weeks*B$18+$B$15-($B$8+$B$9+$B$10+$B$11*12*B$18+($B$12*B$18+$B$13)/$B$14)</f>
        <v>-14623.333333333332</v>
      </c>
      <c r="C19" s="20">
        <f t="shared" si="0"/>
        <v>-14390</v>
      </c>
      <c r="D19" s="20">
        <f t="shared" si="0"/>
        <v>-14156.666666666668</v>
      </c>
      <c r="E19" s="20">
        <f t="shared" si="0"/>
        <v>-13923.333333333332</v>
      </c>
    </row>
    <row r="20" spans="1:5" x14ac:dyDescent="0.25">
      <c r="A20" s="36">
        <v>0.1</v>
      </c>
      <c r="B20" s="20">
        <f t="shared" si="0"/>
        <v>-10723.333333333332</v>
      </c>
      <c r="C20" s="20">
        <f t="shared" si="0"/>
        <v>-6590</v>
      </c>
      <c r="D20" s="20">
        <f t="shared" si="0"/>
        <v>-2456.6666666666679</v>
      </c>
      <c r="E20" s="20">
        <f t="shared" si="0"/>
        <v>1676.6666666666679</v>
      </c>
    </row>
    <row r="21" spans="1:5" x14ac:dyDescent="0.25">
      <c r="A21" s="36">
        <v>0.2</v>
      </c>
      <c r="B21" s="20">
        <f t="shared" si="0"/>
        <v>-2923.3333333333321</v>
      </c>
      <c r="C21" s="20">
        <f t="shared" si="0"/>
        <v>9010</v>
      </c>
      <c r="D21" s="20">
        <f t="shared" si="0"/>
        <v>20943.333333333332</v>
      </c>
      <c r="E21" s="20">
        <f t="shared" si="0"/>
        <v>32876.666666666672</v>
      </c>
    </row>
    <row r="22" spans="1:5" x14ac:dyDescent="0.25">
      <c r="A22" s="36">
        <v>0.3</v>
      </c>
      <c r="B22" s="20">
        <f t="shared" si="0"/>
        <v>4876.6666666666679</v>
      </c>
      <c r="C22" s="20">
        <f t="shared" si="0"/>
        <v>24610</v>
      </c>
      <c r="D22" s="20">
        <f t="shared" si="0"/>
        <v>44343.333333333328</v>
      </c>
      <c r="E22" s="20">
        <f t="shared" si="0"/>
        <v>64076.666666666672</v>
      </c>
    </row>
    <row r="23" spans="1:5" x14ac:dyDescent="0.25">
      <c r="A23" s="36">
        <v>0.4</v>
      </c>
      <c r="B23" s="20">
        <f t="shared" si="0"/>
        <v>12676.666666666668</v>
      </c>
      <c r="C23" s="20">
        <f t="shared" si="0"/>
        <v>40210</v>
      </c>
      <c r="D23" s="20">
        <f t="shared" si="0"/>
        <v>67743.333333333328</v>
      </c>
      <c r="E23" s="20">
        <f t="shared" si="0"/>
        <v>95276.666666666672</v>
      </c>
    </row>
    <row r="27" spans="1:5" x14ac:dyDescent="0.25">
      <c r="A27" s="5" t="s">
        <v>160</v>
      </c>
      <c r="B27" s="6"/>
      <c r="C27" s="6"/>
      <c r="D27" s="6"/>
      <c r="E27" s="6"/>
    </row>
    <row r="28" spans="1:5" x14ac:dyDescent="0.25">
      <c r="A28" s="9" t="s">
        <v>161</v>
      </c>
    </row>
    <row r="30" spans="1:5" x14ac:dyDescent="0.25">
      <c r="A30" s="7" t="s">
        <v>150</v>
      </c>
      <c r="B30" s="33">
        <f>Inputs!$B$15</f>
        <v>60</v>
      </c>
    </row>
    <row r="31" spans="1:5" x14ac:dyDescent="0.25">
      <c r="A31" s="7" t="s">
        <v>151</v>
      </c>
      <c r="B31" s="20">
        <f>Model!C13</f>
        <v>9990</v>
      </c>
    </row>
    <row r="32" spans="1:5" x14ac:dyDescent="0.25">
      <c r="A32" s="7" t="s">
        <v>152</v>
      </c>
      <c r="B32" s="20">
        <f>Model!C14</f>
        <v>3600</v>
      </c>
    </row>
    <row r="33" spans="1:5" x14ac:dyDescent="0.25">
      <c r="A33" s="7" t="s">
        <v>153</v>
      </c>
      <c r="B33" s="20">
        <f>Model!C15</f>
        <v>1800</v>
      </c>
    </row>
    <row r="34" spans="1:5" x14ac:dyDescent="0.25">
      <c r="A34" s="7" t="s">
        <v>154</v>
      </c>
      <c r="B34" s="33">
        <f>Inputs!$B$19</f>
        <v>10</v>
      </c>
    </row>
    <row r="35" spans="1:5" x14ac:dyDescent="0.25">
      <c r="A35" s="7" t="s">
        <v>155</v>
      </c>
      <c r="B35" s="33">
        <f>Inputs!$B$20</f>
        <v>80</v>
      </c>
    </row>
    <row r="36" spans="1:5" x14ac:dyDescent="0.25">
      <c r="A36" s="7" t="s">
        <v>43</v>
      </c>
      <c r="B36" s="20">
        <f>Inputs!$B$21</f>
        <v>2000</v>
      </c>
    </row>
    <row r="37" spans="1:5" x14ac:dyDescent="0.25">
      <c r="A37" s="7" t="s">
        <v>156</v>
      </c>
      <c r="B37" s="34">
        <f>Inputs!$B$22</f>
        <v>3</v>
      </c>
    </row>
    <row r="38" spans="1:5" x14ac:dyDescent="0.25">
      <c r="A38" s="7" t="s">
        <v>157</v>
      </c>
      <c r="B38" s="20">
        <f>Model!C8+Model!C9+Model!C10</f>
        <v>1200</v>
      </c>
    </row>
    <row r="40" spans="1:5" x14ac:dyDescent="0.25">
      <c r="A40" s="28" t="s">
        <v>158</v>
      </c>
    </row>
    <row r="41" spans="1:5" ht="30" customHeight="1" x14ac:dyDescent="0.25">
      <c r="A41" s="3" t="s">
        <v>159</v>
      </c>
      <c r="B41" s="35">
        <v>25</v>
      </c>
      <c r="C41" s="35">
        <v>50</v>
      </c>
      <c r="D41" s="35">
        <v>75</v>
      </c>
      <c r="E41" s="35">
        <v>100</v>
      </c>
    </row>
    <row r="42" spans="1:5" x14ac:dyDescent="0.25">
      <c r="A42" s="36">
        <v>0.05</v>
      </c>
      <c r="B42" s="20">
        <f t="shared" ref="B42:E46" si="1">$B$30*$A42*Weeks*B$41+$B$38-($B$31+$B$32+$B$33+$B$34*12*B$41+($B$35*B$41+$B$36)/$B$37)</f>
        <v>-14623.333333333332</v>
      </c>
      <c r="C42" s="20">
        <f t="shared" si="1"/>
        <v>-14390</v>
      </c>
      <c r="D42" s="20">
        <f t="shared" si="1"/>
        <v>-14156.666666666668</v>
      </c>
      <c r="E42" s="20">
        <f t="shared" si="1"/>
        <v>-13923.333333333332</v>
      </c>
    </row>
    <row r="43" spans="1:5" x14ac:dyDescent="0.25">
      <c r="A43" s="36">
        <v>0.1</v>
      </c>
      <c r="B43" s="20">
        <f t="shared" si="1"/>
        <v>-10723.333333333332</v>
      </c>
      <c r="C43" s="20">
        <f t="shared" si="1"/>
        <v>-6590</v>
      </c>
      <c r="D43" s="20">
        <f t="shared" si="1"/>
        <v>-2456.6666666666679</v>
      </c>
      <c r="E43" s="20">
        <f t="shared" si="1"/>
        <v>1676.6666666666679</v>
      </c>
    </row>
    <row r="44" spans="1:5" x14ac:dyDescent="0.25">
      <c r="A44" s="36">
        <v>0.2</v>
      </c>
      <c r="B44" s="20">
        <f t="shared" si="1"/>
        <v>-2923.3333333333321</v>
      </c>
      <c r="C44" s="20">
        <f t="shared" si="1"/>
        <v>9010</v>
      </c>
      <c r="D44" s="20">
        <f t="shared" si="1"/>
        <v>20943.333333333332</v>
      </c>
      <c r="E44" s="20">
        <f t="shared" si="1"/>
        <v>32876.666666666672</v>
      </c>
    </row>
    <row r="45" spans="1:5" x14ac:dyDescent="0.25">
      <c r="A45" s="36">
        <v>0.3</v>
      </c>
      <c r="B45" s="20">
        <f t="shared" si="1"/>
        <v>4876.6666666666679</v>
      </c>
      <c r="C45" s="20">
        <f t="shared" si="1"/>
        <v>24610</v>
      </c>
      <c r="D45" s="20">
        <f t="shared" si="1"/>
        <v>44343.333333333328</v>
      </c>
      <c r="E45" s="20">
        <f t="shared" si="1"/>
        <v>64076.666666666672</v>
      </c>
    </row>
    <row r="46" spans="1:5" x14ac:dyDescent="0.25">
      <c r="A46" s="36">
        <v>0.4</v>
      </c>
      <c r="B46" s="20">
        <f t="shared" si="1"/>
        <v>12676.666666666668</v>
      </c>
      <c r="C46" s="20">
        <f t="shared" si="1"/>
        <v>40210</v>
      </c>
      <c r="D46" s="20">
        <f t="shared" si="1"/>
        <v>67743.333333333328</v>
      </c>
      <c r="E46" s="20">
        <f t="shared" si="1"/>
        <v>95276.666666666672</v>
      </c>
    </row>
  </sheetData>
  <printOptions horizontalCentered="1"/>
  <pageMargins left="0.5" right="0.5" top="0.6" bottom="0.7" header="0.5" footer="0.5"/>
  <pageSetup fitToHeight="0" orientation="portrait"/>
  <headerFooter>
    <oddFooter>&amp;C&amp;8 ErezAgent ROI Calculator v4.94.3  |  &amp;A  | 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32"/>
  <sheetViews>
    <sheetView showGridLines="0" workbookViewId="0"/>
  </sheetViews>
  <sheetFormatPr defaultRowHeight="15" x14ac:dyDescent="0.25"/>
  <cols>
    <col min="1" max="1" width="118" customWidth="1"/>
  </cols>
  <sheetData>
    <row r="1" spans="1:1" ht="24" customHeight="1" x14ac:dyDescent="0.35">
      <c r="A1" s="1" t="s">
        <v>162</v>
      </c>
    </row>
    <row r="2" spans="1:1" x14ac:dyDescent="0.25">
      <c r="A2" s="2" t="s">
        <v>163</v>
      </c>
    </row>
    <row r="4" spans="1:1" x14ac:dyDescent="0.25">
      <c r="A4" s="37" t="s">
        <v>164</v>
      </c>
    </row>
    <row r="5" spans="1:1" x14ac:dyDescent="0.25">
      <c r="A5" s="38" t="s">
        <v>165</v>
      </c>
    </row>
    <row r="6" spans="1:1" x14ac:dyDescent="0.25">
      <c r="A6" s="38" t="s">
        <v>166</v>
      </c>
    </row>
    <row r="7" spans="1:1" x14ac:dyDescent="0.25">
      <c r="A7" s="38"/>
    </row>
    <row r="8" spans="1:1" x14ac:dyDescent="0.25">
      <c r="A8" s="37" t="s">
        <v>167</v>
      </c>
    </row>
    <row r="9" spans="1:1" x14ac:dyDescent="0.25">
      <c r="A9" s="38" t="s">
        <v>168</v>
      </c>
    </row>
    <row r="10" spans="1:1" x14ac:dyDescent="0.25">
      <c r="A10" s="38" t="s">
        <v>169</v>
      </c>
    </row>
    <row r="11" spans="1:1" x14ac:dyDescent="0.25">
      <c r="A11" s="38"/>
    </row>
    <row r="12" spans="1:1" x14ac:dyDescent="0.25">
      <c r="A12" s="37" t="s">
        <v>170</v>
      </c>
    </row>
    <row r="13" spans="1:1" x14ac:dyDescent="0.25">
      <c r="A13" s="38" t="s">
        <v>171</v>
      </c>
    </row>
    <row r="14" spans="1:1" x14ac:dyDescent="0.25">
      <c r="A14" s="38" t="s">
        <v>172</v>
      </c>
    </row>
    <row r="15" spans="1:1" x14ac:dyDescent="0.25">
      <c r="A15" s="38" t="s">
        <v>173</v>
      </c>
    </row>
    <row r="16" spans="1:1" x14ac:dyDescent="0.25">
      <c r="A16" s="38" t="s">
        <v>174</v>
      </c>
    </row>
    <row r="17" spans="1:1" x14ac:dyDescent="0.25">
      <c r="A17" s="38" t="s">
        <v>175</v>
      </c>
    </row>
    <row r="18" spans="1:1" x14ac:dyDescent="0.25">
      <c r="A18" s="38"/>
    </row>
    <row r="19" spans="1:1" x14ac:dyDescent="0.25">
      <c r="A19" s="37" t="s">
        <v>176</v>
      </c>
    </row>
    <row r="20" spans="1:1" x14ac:dyDescent="0.25">
      <c r="A20" s="38" t="s">
        <v>177</v>
      </c>
    </row>
    <row r="21" spans="1:1" x14ac:dyDescent="0.25">
      <c r="A21" s="38" t="s">
        <v>178</v>
      </c>
    </row>
    <row r="22" spans="1:1" x14ac:dyDescent="0.25">
      <c r="A22" s="38" t="s">
        <v>179</v>
      </c>
    </row>
    <row r="23" spans="1:1" ht="25.5" x14ac:dyDescent="0.25">
      <c r="A23" s="38" t="s">
        <v>180</v>
      </c>
    </row>
    <row r="24" spans="1:1" x14ac:dyDescent="0.25">
      <c r="A24" s="38" t="s">
        <v>181</v>
      </c>
    </row>
    <row r="25" spans="1:1" x14ac:dyDescent="0.25">
      <c r="A25" s="38" t="s">
        <v>182</v>
      </c>
    </row>
    <row r="26" spans="1:1" x14ac:dyDescent="0.25">
      <c r="A26" s="38"/>
    </row>
    <row r="27" spans="1:1" x14ac:dyDescent="0.25">
      <c r="A27" s="37" t="s">
        <v>183</v>
      </c>
    </row>
    <row r="28" spans="1:1" ht="25.5" x14ac:dyDescent="0.25">
      <c r="A28" s="38" t="s">
        <v>184</v>
      </c>
    </row>
    <row r="29" spans="1:1" x14ac:dyDescent="0.25">
      <c r="A29" s="38" t="s">
        <v>185</v>
      </c>
    </row>
    <row r="30" spans="1:1" ht="25.5" x14ac:dyDescent="0.25">
      <c r="A30" s="38" t="s">
        <v>186</v>
      </c>
    </row>
    <row r="31" spans="1:1" x14ac:dyDescent="0.25">
      <c r="A31" s="38" t="s">
        <v>187</v>
      </c>
    </row>
    <row r="32" spans="1:1" x14ac:dyDescent="0.25">
      <c r="A32" s="38" t="s">
        <v>188</v>
      </c>
    </row>
  </sheetData>
  <printOptions horizontalCentered="1"/>
  <pageMargins left="0.5" right="0.5" top="0.6" bottom="0.7" header="0.5" footer="0.5"/>
  <pageSetup fitToHeight="0" orientation="portrait"/>
  <headerFooter>
    <oddFooter>&amp;C&amp;8 ErezAgent ROI Calculator v4.94.3  |  &amp;A  | 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Inputs</vt:lpstr>
      <vt:lpstr>Model</vt:lpstr>
      <vt:lpstr>Break-even</vt:lpstr>
      <vt:lpstr>Scenarios</vt:lpstr>
      <vt:lpstr>Sensitivity</vt:lpstr>
      <vt:lpstr>Read me</vt:lpstr>
      <vt:lpstr>PlanAnnual</vt:lpstr>
      <vt:lpstr>PlanMonthly</vt:lpstr>
      <vt:lpstr>PlanNames</vt:lpstr>
      <vt:lpstr>PlanProjects</vt:lpstr>
      <vt:lpstr>PlanUsers</vt:lpstr>
      <vt:lpstr>PlanVentures</vt:lpstr>
      <vt:lpstr>PlanWorkspaces</vt:lpstr>
      <vt:lpstr>Inputs!Print_Titles</vt:lpstr>
      <vt:lpstr>Model!Print_Titles</vt:lpstr>
      <vt:lpstr>Weeks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ErezAgent ROI Calculator v4.94.3</dc:title>
  <dc:subject>Companion calculator to the ROI &amp; Business Case Guide v4.94.3</dc:subject>
  <dc:creator>ErezAgent</dc:creator>
  <cp:lastModifiedBy>Erez Rozenbaum</cp:lastModifiedBy>
  <dcterms:created xsi:type="dcterms:W3CDTF">2026-10-18T07:22:09Z</dcterms:created>
  <dcterms:modified xsi:type="dcterms:W3CDTF">2026-10-18T07:22:34Z</dcterms:modified>
</cp:coreProperties>
</file>